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1" windowWidth="22983" windowHeight="9524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K27" i="1"/>
  <c r="J27" i="1"/>
  <c r="I27" i="1"/>
  <c r="H27" i="1"/>
  <c r="G26" i="1"/>
  <c r="G42" i="1" s="1"/>
  <c r="F26" i="1"/>
  <c r="F42" i="1" s="1"/>
  <c r="E26" i="1"/>
  <c r="E42" i="1" s="1"/>
  <c r="D26" i="1"/>
  <c r="D42" i="1" s="1"/>
  <c r="C26" i="1"/>
  <c r="C42" i="1" s="1"/>
  <c r="B26" i="1"/>
  <c r="B42" i="1" s="1"/>
  <c r="G25" i="1"/>
  <c r="F25" i="1"/>
  <c r="E25" i="1"/>
  <c r="D25" i="1"/>
  <c r="C25" i="1"/>
  <c r="B25" i="1"/>
  <c r="G24" i="1"/>
  <c r="G41" i="1" s="1"/>
  <c r="F24" i="1"/>
  <c r="F41" i="1" s="1"/>
  <c r="E24" i="1"/>
  <c r="E41" i="1" s="1"/>
  <c r="D24" i="1"/>
  <c r="D41" i="1" s="1"/>
  <c r="C24" i="1"/>
  <c r="C41" i="1" s="1"/>
  <c r="B24" i="1"/>
  <c r="B41" i="1" s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G40" i="1" s="1"/>
  <c r="F19" i="1"/>
  <c r="F40" i="1" s="1"/>
  <c r="E19" i="1"/>
  <c r="E40" i="1" s="1"/>
  <c r="D19" i="1"/>
  <c r="D40" i="1" s="1"/>
  <c r="C19" i="1"/>
  <c r="C40" i="1" s="1"/>
  <c r="B19" i="1"/>
  <c r="B40" i="1" s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G39" i="1" s="1"/>
  <c r="F16" i="1"/>
  <c r="F39" i="1" s="1"/>
  <c r="E16" i="1"/>
  <c r="E39" i="1" s="1"/>
  <c r="D16" i="1"/>
  <c r="D39" i="1" s="1"/>
  <c r="C16" i="1"/>
  <c r="C39" i="1" s="1"/>
  <c r="B16" i="1"/>
  <c r="B39" i="1" s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G38" i="1" s="1"/>
  <c r="F13" i="1"/>
  <c r="F38" i="1" s="1"/>
  <c r="E13" i="1"/>
  <c r="E38" i="1" s="1"/>
  <c r="D13" i="1"/>
  <c r="D38" i="1" s="1"/>
  <c r="C13" i="1"/>
  <c r="C38" i="1" s="1"/>
  <c r="B13" i="1"/>
  <c r="B38" i="1" s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G37" i="1" s="1"/>
  <c r="F5" i="1"/>
  <c r="F37" i="1" s="1"/>
  <c r="E5" i="1"/>
  <c r="E37" i="1" s="1"/>
  <c r="D5" i="1"/>
  <c r="D37" i="1" s="1"/>
  <c r="C5" i="1"/>
  <c r="C37" i="1" s="1"/>
  <c r="B5" i="1"/>
  <c r="B37" i="1" s="1"/>
  <c r="B27" i="1" l="1"/>
  <c r="D27" i="1"/>
  <c r="F27" i="1"/>
  <c r="C27" i="1"/>
  <c r="E27" i="1"/>
  <c r="G27" i="1"/>
</calcChain>
</file>

<file path=xl/sharedStrings.xml><?xml version="1.0" encoding="utf-8"?>
<sst xmlns="http://schemas.openxmlformats.org/spreadsheetml/2006/main" count="59" uniqueCount="48">
  <si>
    <t>Інформація про пошкодження  в мережах 110, 35, 10, 0.4 кВ 
по відокремлених дільницях АТ "ЧЕРНІГІВОБЛЕНЕРГО"</t>
  </si>
  <si>
    <t>Відокремлена дільниця</t>
  </si>
  <si>
    <t>Кількість відключених</t>
  </si>
  <si>
    <t>К-ть Техніки</t>
  </si>
  <si>
    <t>К-ть Бригад</t>
  </si>
  <si>
    <t>К-ть Людей</t>
  </si>
  <si>
    <t>Л-10 кВ</t>
  </si>
  <si>
    <t>Л-0,4 кВ</t>
  </si>
  <si>
    <t>Частково</t>
  </si>
  <si>
    <t>НП</t>
  </si>
  <si>
    <t>ТП</t>
  </si>
  <si>
    <t>ТП (аб)</t>
  </si>
  <si>
    <t xml:space="preserve">Кільк. аб. </t>
  </si>
  <si>
    <t>Всього</t>
  </si>
  <si>
    <t>Бахмацька</t>
  </si>
  <si>
    <t>Бобровицька</t>
  </si>
  <si>
    <t>Борзнянська</t>
  </si>
  <si>
    <t>Варвинська</t>
  </si>
  <si>
    <t>Городнянська</t>
  </si>
  <si>
    <t>Ічнянська</t>
  </si>
  <si>
    <t>Козелецька</t>
  </si>
  <si>
    <t>Коропська</t>
  </si>
  <si>
    <t>Корюківська</t>
  </si>
  <si>
    <t>Куликівська</t>
  </si>
  <si>
    <t>Менська</t>
  </si>
  <si>
    <t>Ніжинська</t>
  </si>
  <si>
    <t>Н.Сіверська</t>
  </si>
  <si>
    <t>Носовська</t>
  </si>
  <si>
    <t>Прилуцька</t>
  </si>
  <si>
    <t>Ріпкінська</t>
  </si>
  <si>
    <t>Семенівська</t>
  </si>
  <si>
    <t>Срібнянська</t>
  </si>
  <si>
    <t>Талалаївська</t>
  </si>
  <si>
    <t>Чернігівська</t>
  </si>
  <si>
    <t>Сновська</t>
  </si>
  <si>
    <t>МЕМ</t>
  </si>
  <si>
    <t>Всього по ЧнОЕ</t>
  </si>
  <si>
    <t>ПЛ-110 кВ</t>
  </si>
  <si>
    <t>ПЛ-35 кВ</t>
  </si>
  <si>
    <t>Інформація про пошкодження  в мережах 10, 0.4 кВ 
по РЕМ АТ "ЧЕРНІГІВОБЛЕНЕРГО"</t>
  </si>
  <si>
    <t>РЕМ</t>
  </si>
  <si>
    <t>Бахмацький</t>
  </si>
  <si>
    <t>Корюківський</t>
  </si>
  <si>
    <t>Ніжинський</t>
  </si>
  <si>
    <t>Прилуцький</t>
  </si>
  <si>
    <t>Чернігівський</t>
  </si>
  <si>
    <t>Чернігівські МЕМ</t>
  </si>
  <si>
    <t>Починаючи з 00:00 14.12.2020 включено в работу 127 ліній 10 кВ, 328 НП, 1649 ТП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</si>
</sst>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58;&#1050;&#1051;&#1070;&#1063;&#1045;&#1053;&#1048;&#1071;\&#1056;&#1040;&#1055;&#1054;&#1056;&#1058;%20-%20&#1086;&#1087;&#1077;&#1088;&#1072;&#1090;&#1080;&#1074;&#1085;&#1072;%20&#1110;&#1085;&#1092;&#1086;&#1088;&#1084;&#1072;&#1094;&#1110;&#1103;\12.20\&#1056;&#1072;&#1087;&#1086;&#1088;&#1090;%20&#1085;&#1072;%2019-00%2016.12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База данних"/>
    </sheetNames>
    <sheetDataSet>
      <sheetData sheetId="0">
        <row r="26">
          <cell r="B26" t="str">
            <v>Ічнянська</v>
          </cell>
          <cell r="L26">
            <v>201</v>
          </cell>
          <cell r="O26">
            <v>44181.373611111114</v>
          </cell>
          <cell r="Y26">
            <v>4</v>
          </cell>
          <cell r="Z26">
            <v>3</v>
          </cell>
          <cell r="AA26">
            <v>0.1</v>
          </cell>
        </row>
        <row r="27">
          <cell r="B27" t="str">
            <v>Прилуцька</v>
          </cell>
          <cell r="G27">
            <v>1</v>
          </cell>
          <cell r="I27">
            <v>4</v>
          </cell>
          <cell r="K27">
            <v>0</v>
          </cell>
          <cell r="L27">
            <v>1664</v>
          </cell>
          <cell r="N27">
            <v>44179.099305555559</v>
          </cell>
          <cell r="Y27">
            <v>0</v>
          </cell>
          <cell r="Z27">
            <v>0</v>
          </cell>
          <cell r="AA27">
            <v>0</v>
          </cell>
        </row>
        <row r="28">
          <cell r="B28" t="str">
            <v>Борзнянська</v>
          </cell>
          <cell r="G28">
            <v>1</v>
          </cell>
          <cell r="I28">
            <v>16</v>
          </cell>
          <cell r="K28">
            <v>0</v>
          </cell>
          <cell r="L28">
            <v>1102</v>
          </cell>
          <cell r="N28" t="str">
            <v>14.12.202012:55</v>
          </cell>
          <cell r="Y28">
            <v>0</v>
          </cell>
          <cell r="Z28">
            <v>0</v>
          </cell>
          <cell r="AA28">
            <v>0</v>
          </cell>
        </row>
        <row r="29">
          <cell r="B29" t="str">
            <v>Прилуцька</v>
          </cell>
          <cell r="L29">
            <v>816</v>
          </cell>
          <cell r="O29">
            <v>44181.680555555555</v>
          </cell>
          <cell r="Y29">
            <v>18</v>
          </cell>
          <cell r="Z29">
            <v>3</v>
          </cell>
          <cell r="AA29">
            <v>6.2</v>
          </cell>
        </row>
        <row r="30">
          <cell r="B30" t="str">
            <v>Прилуцька</v>
          </cell>
          <cell r="G30">
            <v>0</v>
          </cell>
          <cell r="I30">
            <v>2</v>
          </cell>
          <cell r="K30">
            <v>0</v>
          </cell>
          <cell r="L30">
            <v>531</v>
          </cell>
          <cell r="N30">
            <v>44179.606249999997</v>
          </cell>
          <cell r="Y30">
            <v>0</v>
          </cell>
          <cell r="Z30">
            <v>0</v>
          </cell>
          <cell r="AA30">
            <v>0</v>
          </cell>
        </row>
        <row r="31">
          <cell r="B31" t="str">
            <v>Бахмацька</v>
          </cell>
          <cell r="L31">
            <v>603</v>
          </cell>
          <cell r="O31">
            <v>44181.695833333331</v>
          </cell>
          <cell r="Y31">
            <v>15</v>
          </cell>
          <cell r="Z31">
            <v>0</v>
          </cell>
          <cell r="AA31">
            <v>3.1</v>
          </cell>
        </row>
        <row r="32">
          <cell r="B32" t="str">
            <v>Ічнянська</v>
          </cell>
          <cell r="G32">
            <v>0</v>
          </cell>
          <cell r="I32">
            <v>4</v>
          </cell>
          <cell r="K32">
            <v>0</v>
          </cell>
          <cell r="L32">
            <v>345</v>
          </cell>
          <cell r="N32">
            <v>44180.724305555559</v>
          </cell>
          <cell r="O32">
            <v>44181.677777777775</v>
          </cell>
          <cell r="Y32">
            <v>0</v>
          </cell>
          <cell r="Z32">
            <v>0</v>
          </cell>
          <cell r="AA32">
            <v>0</v>
          </cell>
        </row>
        <row r="33">
          <cell r="B33" t="str">
            <v>Ічнянська</v>
          </cell>
          <cell r="L33">
            <v>421</v>
          </cell>
          <cell r="O33">
            <v>44181.729166666664</v>
          </cell>
          <cell r="Y33">
            <v>12</v>
          </cell>
          <cell r="Z33">
            <v>0</v>
          </cell>
          <cell r="AA33">
            <v>1.6</v>
          </cell>
        </row>
        <row r="34">
          <cell r="B34" t="str">
            <v>Ічнянська</v>
          </cell>
          <cell r="G34">
            <v>4</v>
          </cell>
          <cell r="I34">
            <v>6</v>
          </cell>
          <cell r="K34">
            <v>1</v>
          </cell>
          <cell r="L34">
            <v>690</v>
          </cell>
          <cell r="N34">
            <v>44180.986111111109</v>
          </cell>
          <cell r="Y34">
            <v>0</v>
          </cell>
          <cell r="Z34">
            <v>0</v>
          </cell>
          <cell r="AA34">
            <v>0</v>
          </cell>
        </row>
        <row r="35">
          <cell r="B35" t="str">
            <v>Ічнянська</v>
          </cell>
          <cell r="G35">
            <v>1</v>
          </cell>
          <cell r="I35">
            <v>6</v>
          </cell>
          <cell r="K35">
            <v>0</v>
          </cell>
          <cell r="L35">
            <v>765</v>
          </cell>
          <cell r="N35">
            <v>44180.70208333333</v>
          </cell>
          <cell r="Y35">
            <v>0</v>
          </cell>
          <cell r="Z35">
            <v>0</v>
          </cell>
          <cell r="AA35">
            <v>0</v>
          </cell>
        </row>
        <row r="36">
          <cell r="B36" t="str">
            <v>Ічнянська</v>
          </cell>
          <cell r="L36">
            <v>421</v>
          </cell>
          <cell r="Y36">
            <v>18</v>
          </cell>
          <cell r="Z36">
            <v>1</v>
          </cell>
          <cell r="AA36">
            <v>1.8</v>
          </cell>
        </row>
        <row r="37">
          <cell r="B37" t="str">
            <v>Ічнянська</v>
          </cell>
          <cell r="L37">
            <v>436</v>
          </cell>
          <cell r="Y37">
            <v>13</v>
          </cell>
          <cell r="Z37">
            <v>0</v>
          </cell>
          <cell r="AA37">
            <v>1</v>
          </cell>
        </row>
        <row r="38">
          <cell r="B38" t="str">
            <v>Ічнянська</v>
          </cell>
          <cell r="L38">
            <v>2</v>
          </cell>
          <cell r="O38">
            <v>44181.627083333333</v>
          </cell>
          <cell r="Y38">
            <v>0</v>
          </cell>
          <cell r="Z38">
            <v>2</v>
          </cell>
          <cell r="AA38">
            <v>0.05</v>
          </cell>
        </row>
        <row r="39">
          <cell r="B39" t="str">
            <v>Ічнянська</v>
          </cell>
          <cell r="L39">
            <v>221</v>
          </cell>
          <cell r="Y39">
            <v>8</v>
          </cell>
          <cell r="Z39">
            <v>2</v>
          </cell>
          <cell r="AA39">
            <v>2.1</v>
          </cell>
        </row>
        <row r="40">
          <cell r="B40" t="str">
            <v>Ічнянська</v>
          </cell>
          <cell r="G40">
            <v>3</v>
          </cell>
          <cell r="I40">
            <v>7</v>
          </cell>
          <cell r="K40">
            <v>0</v>
          </cell>
          <cell r="L40">
            <v>185</v>
          </cell>
          <cell r="N40">
            <v>44179.722222222219</v>
          </cell>
          <cell r="Y40">
            <v>0</v>
          </cell>
          <cell r="Z40">
            <v>0</v>
          </cell>
          <cell r="AA40">
            <v>0</v>
          </cell>
        </row>
        <row r="41">
          <cell r="B41" t="str">
            <v>Ічнянська</v>
          </cell>
          <cell r="L41">
            <v>650</v>
          </cell>
          <cell r="Y41">
            <v>17</v>
          </cell>
          <cell r="Z41">
            <v>3</v>
          </cell>
          <cell r="AA41">
            <v>4.1500000000000004</v>
          </cell>
        </row>
        <row r="42">
          <cell r="B42" t="str">
            <v>Ічнянська</v>
          </cell>
          <cell r="L42">
            <v>465</v>
          </cell>
          <cell r="Y42">
            <v>8</v>
          </cell>
          <cell r="Z42">
            <v>1</v>
          </cell>
          <cell r="AA42">
            <v>1</v>
          </cell>
        </row>
        <row r="43">
          <cell r="B43" t="str">
            <v>Ічнянська</v>
          </cell>
          <cell r="L43">
            <v>189</v>
          </cell>
          <cell r="Y43">
            <v>8</v>
          </cell>
          <cell r="Z43">
            <v>1</v>
          </cell>
          <cell r="AA43">
            <v>0.5</v>
          </cell>
        </row>
        <row r="44">
          <cell r="B44" t="str">
            <v>Коропська</v>
          </cell>
          <cell r="G44">
            <v>1</v>
          </cell>
          <cell r="I44">
            <v>2</v>
          </cell>
          <cell r="K44">
            <v>0</v>
          </cell>
          <cell r="L44">
            <v>1959</v>
          </cell>
          <cell r="N44">
            <v>44179.923611111109</v>
          </cell>
          <cell r="O44">
            <v>44181.647222222222</v>
          </cell>
          <cell r="Y44">
            <v>0</v>
          </cell>
          <cell r="Z44">
            <v>0</v>
          </cell>
          <cell r="AA44">
            <v>0</v>
          </cell>
        </row>
        <row r="45">
          <cell r="B45" t="str">
            <v>Коропська</v>
          </cell>
          <cell r="L45">
            <v>412</v>
          </cell>
          <cell r="Y45">
            <v>12</v>
          </cell>
          <cell r="Z45">
            <v>0</v>
          </cell>
          <cell r="AA45">
            <v>4</v>
          </cell>
        </row>
        <row r="46">
          <cell r="B46" t="str">
            <v>Борзнянська</v>
          </cell>
          <cell r="L46">
            <v>404</v>
          </cell>
          <cell r="O46">
            <v>44181.716666666667</v>
          </cell>
          <cell r="Y46">
            <v>13</v>
          </cell>
          <cell r="Z46">
            <v>0</v>
          </cell>
          <cell r="AA46">
            <v>2</v>
          </cell>
        </row>
        <row r="47">
          <cell r="B47" t="str">
            <v>Менська</v>
          </cell>
          <cell r="G47">
            <v>1</v>
          </cell>
          <cell r="I47">
            <v>4</v>
          </cell>
          <cell r="K47">
            <v>0</v>
          </cell>
          <cell r="L47">
            <v>896</v>
          </cell>
          <cell r="N47">
            <v>44179.436111111114</v>
          </cell>
          <cell r="Y47">
            <v>0</v>
          </cell>
          <cell r="Z47">
            <v>0</v>
          </cell>
          <cell r="AA47">
            <v>0</v>
          </cell>
        </row>
        <row r="48">
          <cell r="B48" t="str">
            <v>Н.Сіверська</v>
          </cell>
          <cell r="G48">
            <v>0.1</v>
          </cell>
          <cell r="I48">
            <v>0</v>
          </cell>
          <cell r="K48">
            <v>1</v>
          </cell>
          <cell r="L48">
            <v>275</v>
          </cell>
          <cell r="N48">
            <v>44180.795138888891</v>
          </cell>
          <cell r="Y48">
            <v>0</v>
          </cell>
          <cell r="Z48">
            <v>0</v>
          </cell>
          <cell r="AA48">
            <v>0</v>
          </cell>
        </row>
        <row r="49">
          <cell r="B49" t="str">
            <v>Прилуцька</v>
          </cell>
          <cell r="G49">
            <v>2</v>
          </cell>
          <cell r="I49">
            <v>4</v>
          </cell>
          <cell r="K49">
            <v>2</v>
          </cell>
          <cell r="L49">
            <v>1090</v>
          </cell>
          <cell r="N49">
            <v>44180.586805555555</v>
          </cell>
          <cell r="Y49">
            <v>0</v>
          </cell>
          <cell r="Z49">
            <v>0</v>
          </cell>
          <cell r="AA49">
            <v>0</v>
          </cell>
        </row>
        <row r="50">
          <cell r="B50" t="str">
            <v>Борзнянська</v>
          </cell>
          <cell r="L50">
            <v>493</v>
          </cell>
          <cell r="Y50">
            <v>15</v>
          </cell>
          <cell r="Z50">
            <v>1</v>
          </cell>
          <cell r="AA50">
            <v>1</v>
          </cell>
        </row>
        <row r="51">
          <cell r="B51" t="str">
            <v>Ічнянська</v>
          </cell>
          <cell r="L51">
            <v>784</v>
          </cell>
          <cell r="Y51">
            <v>17</v>
          </cell>
          <cell r="Z51">
            <v>13</v>
          </cell>
          <cell r="AA51">
            <v>4.3</v>
          </cell>
        </row>
        <row r="52">
          <cell r="B52" t="str">
            <v>Ічнянська</v>
          </cell>
          <cell r="L52">
            <v>193</v>
          </cell>
          <cell r="Y52">
            <v>4</v>
          </cell>
          <cell r="Z52">
            <v>1</v>
          </cell>
          <cell r="AA52">
            <v>1.1000000000000001</v>
          </cell>
        </row>
        <row r="53">
          <cell r="B53" t="str">
            <v>Ічнянська</v>
          </cell>
          <cell r="L53">
            <v>568</v>
          </cell>
          <cell r="Y53">
            <v>12</v>
          </cell>
          <cell r="Z53">
            <v>4</v>
          </cell>
          <cell r="AA53">
            <v>5.15</v>
          </cell>
        </row>
        <row r="54">
          <cell r="B54" t="str">
            <v>Ічнянська</v>
          </cell>
          <cell r="L54">
            <v>283</v>
          </cell>
          <cell r="Y54">
            <v>7</v>
          </cell>
          <cell r="Z54">
            <v>0</v>
          </cell>
          <cell r="AA54">
            <v>1.3</v>
          </cell>
        </row>
        <row r="55">
          <cell r="B55" t="str">
            <v>Ічнянська</v>
          </cell>
          <cell r="L55">
            <v>629</v>
          </cell>
          <cell r="Y55">
            <v>10</v>
          </cell>
          <cell r="Z55">
            <v>4</v>
          </cell>
          <cell r="AA55">
            <v>1.3</v>
          </cell>
        </row>
        <row r="56">
          <cell r="B56" t="str">
            <v>Ічнянська</v>
          </cell>
          <cell r="L56">
            <v>148</v>
          </cell>
          <cell r="Y56">
            <v>8</v>
          </cell>
          <cell r="Z56">
            <v>0</v>
          </cell>
          <cell r="AA56">
            <v>3.8</v>
          </cell>
        </row>
        <row r="57">
          <cell r="B57" t="str">
            <v>Корюківська</v>
          </cell>
          <cell r="G57">
            <v>1</v>
          </cell>
          <cell r="I57">
            <v>2</v>
          </cell>
          <cell r="K57">
            <v>0</v>
          </cell>
          <cell r="L57">
            <v>227</v>
          </cell>
          <cell r="N57">
            <v>44180.710416666669</v>
          </cell>
          <cell r="Y57">
            <v>0</v>
          </cell>
          <cell r="Z57">
            <v>0</v>
          </cell>
          <cell r="AA57">
            <v>0</v>
          </cell>
        </row>
        <row r="58">
          <cell r="B58" t="str">
            <v>Корюківська</v>
          </cell>
          <cell r="G58">
            <v>0</v>
          </cell>
          <cell r="I58">
            <v>4</v>
          </cell>
          <cell r="K58">
            <v>0</v>
          </cell>
          <cell r="L58">
            <v>685</v>
          </cell>
          <cell r="N58">
            <v>44181.704861111109</v>
          </cell>
          <cell r="Y58">
            <v>0</v>
          </cell>
          <cell r="Z58">
            <v>0</v>
          </cell>
          <cell r="AA58">
            <v>0</v>
          </cell>
        </row>
        <row r="59">
          <cell r="B59" t="str">
            <v>Н.Сіверська</v>
          </cell>
          <cell r="G59">
            <v>1</v>
          </cell>
          <cell r="I59">
            <v>1</v>
          </cell>
          <cell r="K59">
            <v>0</v>
          </cell>
          <cell r="L59">
            <v>618</v>
          </cell>
          <cell r="N59">
            <v>44179.772916666669</v>
          </cell>
          <cell r="O59">
            <v>44181.631944444445</v>
          </cell>
          <cell r="Y59">
            <v>0</v>
          </cell>
          <cell r="Z59">
            <v>0</v>
          </cell>
          <cell r="AA59">
            <v>0</v>
          </cell>
        </row>
        <row r="60">
          <cell r="B60" t="str">
            <v>Н.Сіверська</v>
          </cell>
          <cell r="G60">
            <v>1</v>
          </cell>
          <cell r="I60">
            <v>1</v>
          </cell>
          <cell r="L60">
            <v>141</v>
          </cell>
          <cell r="N60">
            <v>44180.736805555556</v>
          </cell>
          <cell r="O60">
            <v>44181.50277777778</v>
          </cell>
          <cell r="Y60">
            <v>0</v>
          </cell>
          <cell r="Z60">
            <v>0</v>
          </cell>
          <cell r="AA60">
            <v>0</v>
          </cell>
        </row>
        <row r="61">
          <cell r="B61" t="str">
            <v>Н.Сіверська</v>
          </cell>
          <cell r="L61">
            <v>132</v>
          </cell>
          <cell r="O61">
            <v>44181.59375</v>
          </cell>
          <cell r="Y61">
            <v>6</v>
          </cell>
          <cell r="Z61">
            <v>0</v>
          </cell>
          <cell r="AA61">
            <v>1.5</v>
          </cell>
        </row>
        <row r="62">
          <cell r="B62" t="str">
            <v>Ічнянська</v>
          </cell>
          <cell r="L62">
            <v>341</v>
          </cell>
          <cell r="O62">
            <v>44181.781944444447</v>
          </cell>
          <cell r="Y62">
            <v>3</v>
          </cell>
          <cell r="Z62">
            <v>7</v>
          </cell>
          <cell r="AA62">
            <v>1</v>
          </cell>
        </row>
        <row r="63">
          <cell r="B63" t="str">
            <v>Борзнянська</v>
          </cell>
          <cell r="G63">
            <v>0</v>
          </cell>
          <cell r="I63">
            <v>2</v>
          </cell>
          <cell r="K63">
            <v>0</v>
          </cell>
          <cell r="L63">
            <v>404</v>
          </cell>
          <cell r="N63">
            <v>44181.419444444444</v>
          </cell>
          <cell r="O63">
            <v>44181.670138888891</v>
          </cell>
          <cell r="Y63">
            <v>0</v>
          </cell>
          <cell r="Z63">
            <v>0</v>
          </cell>
          <cell r="AA63">
            <v>0</v>
          </cell>
        </row>
        <row r="64">
          <cell r="B64" t="str">
            <v>Коропська</v>
          </cell>
          <cell r="G64">
            <v>1</v>
          </cell>
          <cell r="I64">
            <v>1</v>
          </cell>
          <cell r="L64">
            <v>1103</v>
          </cell>
          <cell r="N64">
            <v>44180.843055555553</v>
          </cell>
          <cell r="O64">
            <v>44181.70416666667</v>
          </cell>
          <cell r="Y64">
            <v>0</v>
          </cell>
          <cell r="Z64">
            <v>0</v>
          </cell>
          <cell r="AA64">
            <v>0</v>
          </cell>
        </row>
        <row r="65">
          <cell r="B65" t="str">
            <v>Коропська</v>
          </cell>
          <cell r="G65">
            <v>1</v>
          </cell>
          <cell r="I65">
            <v>5</v>
          </cell>
          <cell r="K65">
            <v>0</v>
          </cell>
          <cell r="L65">
            <v>495</v>
          </cell>
          <cell r="N65">
            <v>44180.95</v>
          </cell>
          <cell r="Y65">
            <v>0</v>
          </cell>
          <cell r="Z65">
            <v>0</v>
          </cell>
          <cell r="AA65">
            <v>0</v>
          </cell>
        </row>
        <row r="66">
          <cell r="B66" t="str">
            <v>Коропська</v>
          </cell>
          <cell r="G66">
            <v>0.1</v>
          </cell>
          <cell r="I66">
            <v>2</v>
          </cell>
          <cell r="K66">
            <v>0</v>
          </cell>
          <cell r="L66">
            <v>410</v>
          </cell>
          <cell r="N66">
            <v>44180.70416666667</v>
          </cell>
          <cell r="Y66">
            <v>0</v>
          </cell>
          <cell r="Z66">
            <v>0</v>
          </cell>
          <cell r="AA66">
            <v>0</v>
          </cell>
        </row>
        <row r="67">
          <cell r="B67" t="str">
            <v>Семенівська</v>
          </cell>
          <cell r="L67">
            <v>379</v>
          </cell>
          <cell r="O67">
            <v>44180.509722222225</v>
          </cell>
          <cell r="Y67">
            <v>13</v>
          </cell>
          <cell r="Z67">
            <v>0</v>
          </cell>
          <cell r="AA67">
            <v>4</v>
          </cell>
        </row>
        <row r="68">
          <cell r="B68" t="str">
            <v>Борзнянська</v>
          </cell>
          <cell r="G68">
            <v>2</v>
          </cell>
          <cell r="I68">
            <v>14</v>
          </cell>
          <cell r="K68">
            <v>0</v>
          </cell>
          <cell r="L68">
            <v>805</v>
          </cell>
          <cell r="Y68">
            <v>0</v>
          </cell>
          <cell r="Z68">
            <v>0</v>
          </cell>
          <cell r="AA68">
            <v>0</v>
          </cell>
        </row>
        <row r="69">
          <cell r="B69" t="str">
            <v>Прилуцька</v>
          </cell>
          <cell r="G69">
            <v>0.5</v>
          </cell>
          <cell r="I69">
            <v>3</v>
          </cell>
          <cell r="K69">
            <v>0</v>
          </cell>
          <cell r="L69">
            <v>314</v>
          </cell>
          <cell r="N69">
            <v>44179.982638888891</v>
          </cell>
          <cell r="O69">
            <v>44181.611111111109</v>
          </cell>
          <cell r="Y69">
            <v>0</v>
          </cell>
          <cell r="Z69">
            <v>0</v>
          </cell>
          <cell r="AA69">
            <v>0</v>
          </cell>
        </row>
        <row r="70">
          <cell r="B70" t="str">
            <v>Прилуцька</v>
          </cell>
          <cell r="G70">
            <v>1</v>
          </cell>
          <cell r="I70">
            <v>3</v>
          </cell>
          <cell r="K70">
            <v>0</v>
          </cell>
          <cell r="L70">
            <v>198</v>
          </cell>
          <cell r="N70">
            <v>44179.003472222219</v>
          </cell>
          <cell r="Y70">
            <v>0</v>
          </cell>
          <cell r="Z70">
            <v>0</v>
          </cell>
          <cell r="AA70">
            <v>0</v>
          </cell>
        </row>
        <row r="71">
          <cell r="B71" t="str">
            <v>Н.Сіверська</v>
          </cell>
          <cell r="G71">
            <v>3</v>
          </cell>
          <cell r="I71">
            <v>7</v>
          </cell>
          <cell r="K71">
            <v>0</v>
          </cell>
          <cell r="L71">
            <v>164</v>
          </cell>
          <cell r="N71">
            <v>44181.618055555555</v>
          </cell>
          <cell r="Y71">
            <v>0</v>
          </cell>
          <cell r="Z71">
            <v>0</v>
          </cell>
          <cell r="AA71">
            <v>0</v>
          </cell>
        </row>
        <row r="72">
          <cell r="B72" t="str">
            <v>Н.Сіверська</v>
          </cell>
          <cell r="L72">
            <v>79</v>
          </cell>
          <cell r="O72">
            <v>44181.673611111109</v>
          </cell>
          <cell r="Y72">
            <v>4</v>
          </cell>
          <cell r="Z72">
            <v>1</v>
          </cell>
          <cell r="AA72">
            <v>2</v>
          </cell>
        </row>
        <row r="73">
          <cell r="B73" t="str">
            <v>Прилуцька</v>
          </cell>
          <cell r="L73">
            <v>209</v>
          </cell>
          <cell r="Y73">
            <v>4</v>
          </cell>
          <cell r="Z73">
            <v>1</v>
          </cell>
          <cell r="AA73">
            <v>1</v>
          </cell>
        </row>
        <row r="74">
          <cell r="B74" t="str">
            <v>Н.Сіверська</v>
          </cell>
          <cell r="G74">
            <v>4</v>
          </cell>
          <cell r="I74">
            <v>5</v>
          </cell>
          <cell r="K74">
            <v>1</v>
          </cell>
          <cell r="L74">
            <v>376</v>
          </cell>
          <cell r="N74">
            <v>44180.629861111112</v>
          </cell>
          <cell r="O74">
            <v>44181.74722222222</v>
          </cell>
          <cell r="Y74">
            <v>0</v>
          </cell>
          <cell r="Z74">
            <v>0</v>
          </cell>
          <cell r="AA74">
            <v>0</v>
          </cell>
        </row>
        <row r="75">
          <cell r="B75" t="str">
            <v>Семенівська</v>
          </cell>
          <cell r="G75">
            <v>1</v>
          </cell>
          <cell r="I75">
            <v>1</v>
          </cell>
          <cell r="K75">
            <v>0</v>
          </cell>
          <cell r="L75">
            <v>265</v>
          </cell>
          <cell r="N75">
            <v>44180.970138888886</v>
          </cell>
          <cell r="Y75">
            <v>0</v>
          </cell>
          <cell r="Z75">
            <v>0</v>
          </cell>
          <cell r="AA75">
            <v>0</v>
          </cell>
        </row>
        <row r="76">
          <cell r="B76" t="str">
            <v>Прилуцька</v>
          </cell>
          <cell r="L76">
            <v>221</v>
          </cell>
          <cell r="Y76">
            <v>8</v>
          </cell>
          <cell r="Z76">
            <v>1</v>
          </cell>
          <cell r="AA76">
            <v>4</v>
          </cell>
        </row>
        <row r="77">
          <cell r="B77" t="str">
            <v>Прилуцька</v>
          </cell>
          <cell r="G77">
            <v>1</v>
          </cell>
          <cell r="I77">
            <v>8</v>
          </cell>
          <cell r="L77">
            <v>1116</v>
          </cell>
          <cell r="N77">
            <v>44180.966666666667</v>
          </cell>
          <cell r="O77">
            <v>44181.666666666664</v>
          </cell>
          <cell r="Y77">
            <v>0</v>
          </cell>
          <cell r="Z77">
            <v>0</v>
          </cell>
          <cell r="AA77">
            <v>0</v>
          </cell>
        </row>
        <row r="78">
          <cell r="B78" t="str">
            <v>Ічнянська</v>
          </cell>
          <cell r="L78">
            <v>151</v>
          </cell>
          <cell r="Y78">
            <v>6</v>
          </cell>
          <cell r="Z78">
            <v>0</v>
          </cell>
          <cell r="AA78">
            <v>0.6</v>
          </cell>
        </row>
        <row r="79">
          <cell r="B79" t="str">
            <v>Ічнянська</v>
          </cell>
          <cell r="L79">
            <v>178</v>
          </cell>
          <cell r="Y79">
            <v>7</v>
          </cell>
          <cell r="Z79">
            <v>2</v>
          </cell>
          <cell r="AA79">
            <v>2</v>
          </cell>
        </row>
        <row r="80">
          <cell r="B80" t="str">
            <v>Ічнянська</v>
          </cell>
          <cell r="L80">
            <v>253</v>
          </cell>
          <cell r="Y80">
            <v>7</v>
          </cell>
          <cell r="Z80">
            <v>1</v>
          </cell>
          <cell r="AA80">
            <v>1.2</v>
          </cell>
        </row>
        <row r="81">
          <cell r="B81" t="str">
            <v>Менська</v>
          </cell>
          <cell r="G81">
            <v>2</v>
          </cell>
          <cell r="I81">
            <v>3</v>
          </cell>
          <cell r="L81">
            <v>876</v>
          </cell>
          <cell r="N81">
            <v>44181.09375</v>
          </cell>
          <cell r="O81">
            <v>44181.484722222223</v>
          </cell>
          <cell r="Y81">
            <v>0</v>
          </cell>
          <cell r="Z81">
            <v>0</v>
          </cell>
          <cell r="AA81">
            <v>0</v>
          </cell>
        </row>
        <row r="82">
          <cell r="B82" t="str">
            <v>Коропська</v>
          </cell>
          <cell r="L82">
            <v>264</v>
          </cell>
          <cell r="O82">
            <v>44181.236805555556</v>
          </cell>
          <cell r="Y82">
            <v>5</v>
          </cell>
          <cell r="Z82">
            <v>0</v>
          </cell>
          <cell r="AA82">
            <v>0.6</v>
          </cell>
        </row>
        <row r="83">
          <cell r="B83" t="str">
            <v>Борзнянська</v>
          </cell>
          <cell r="L83">
            <v>363</v>
          </cell>
          <cell r="O83">
            <v>44181.382638888892</v>
          </cell>
          <cell r="Y83">
            <v>7</v>
          </cell>
          <cell r="Z83">
            <v>0</v>
          </cell>
          <cell r="AA83">
            <v>1</v>
          </cell>
        </row>
        <row r="84">
          <cell r="B84" t="str">
            <v>Коропська</v>
          </cell>
          <cell r="L84">
            <v>377</v>
          </cell>
          <cell r="O84">
            <v>44181.646527777775</v>
          </cell>
          <cell r="Y84">
            <v>11</v>
          </cell>
          <cell r="Z84">
            <v>0</v>
          </cell>
          <cell r="AA84">
            <v>3.4</v>
          </cell>
        </row>
        <row r="85">
          <cell r="B85" t="str">
            <v>Ічнянська</v>
          </cell>
          <cell r="G85">
            <v>0</v>
          </cell>
          <cell r="I85">
            <v>2</v>
          </cell>
          <cell r="K85">
            <v>0</v>
          </cell>
          <cell r="L85">
            <v>2536</v>
          </cell>
          <cell r="N85">
            <v>44181.038888888892</v>
          </cell>
          <cell r="O85">
            <v>44181.763888888891</v>
          </cell>
          <cell r="Y85">
            <v>0</v>
          </cell>
          <cell r="Z85">
            <v>0</v>
          </cell>
          <cell r="AA85">
            <v>0</v>
          </cell>
        </row>
        <row r="86">
          <cell r="B86" t="str">
            <v>Ічнянська</v>
          </cell>
          <cell r="L86">
            <v>1132</v>
          </cell>
          <cell r="O86">
            <v>44181.111111111109</v>
          </cell>
          <cell r="Y86">
            <v>12</v>
          </cell>
          <cell r="Z86">
            <v>13</v>
          </cell>
          <cell r="AA86">
            <v>0.2</v>
          </cell>
        </row>
        <row r="87">
          <cell r="B87" t="str">
            <v>Бахмацька</v>
          </cell>
          <cell r="L87">
            <v>795</v>
          </cell>
          <cell r="O87">
            <v>44181.085416666669</v>
          </cell>
          <cell r="Y87">
            <v>6</v>
          </cell>
          <cell r="Z87">
            <v>1</v>
          </cell>
          <cell r="AA87">
            <v>0.1</v>
          </cell>
        </row>
        <row r="88">
          <cell r="B88" t="str">
            <v>Прилуцька</v>
          </cell>
          <cell r="L88">
            <v>775</v>
          </cell>
          <cell r="O88">
            <v>44181.635416666664</v>
          </cell>
          <cell r="Y88">
            <v>15</v>
          </cell>
          <cell r="Z88">
            <v>1</v>
          </cell>
          <cell r="AA88">
            <v>4</v>
          </cell>
        </row>
        <row r="89">
          <cell r="B89" t="str">
            <v>Борзнянська</v>
          </cell>
          <cell r="L89">
            <v>637</v>
          </cell>
          <cell r="O89">
            <v>44181.433333333334</v>
          </cell>
          <cell r="Y89">
            <v>11</v>
          </cell>
          <cell r="Z89">
            <v>6</v>
          </cell>
          <cell r="AA89">
            <v>2</v>
          </cell>
        </row>
        <row r="90">
          <cell r="B90" t="str">
            <v>Н.Сіверська</v>
          </cell>
          <cell r="G90">
            <v>2</v>
          </cell>
          <cell r="I90">
            <v>9</v>
          </cell>
          <cell r="L90">
            <v>331</v>
          </cell>
          <cell r="N90">
            <v>44181.650694444441</v>
          </cell>
          <cell r="Y90">
            <v>0</v>
          </cell>
          <cell r="Z90">
            <v>0</v>
          </cell>
          <cell r="AA90">
            <v>0</v>
          </cell>
        </row>
        <row r="91">
          <cell r="B91" t="str">
            <v>Н.Сіверська</v>
          </cell>
          <cell r="L91">
            <v>0</v>
          </cell>
          <cell r="O91">
            <v>44181.696527777778</v>
          </cell>
          <cell r="Y91">
            <v>16</v>
          </cell>
          <cell r="Z91">
            <v>0</v>
          </cell>
          <cell r="AA91">
            <v>4</v>
          </cell>
        </row>
        <row r="92">
          <cell r="B92" t="str">
            <v>Бахмацька</v>
          </cell>
          <cell r="L92">
            <v>437</v>
          </cell>
          <cell r="O92">
            <v>44181.638888888891</v>
          </cell>
          <cell r="Y92">
            <v>11</v>
          </cell>
          <cell r="Z92">
            <v>1</v>
          </cell>
          <cell r="AA92">
            <v>2</v>
          </cell>
        </row>
        <row r="93">
          <cell r="B93" t="str">
            <v>Менська</v>
          </cell>
          <cell r="G93">
            <v>6</v>
          </cell>
          <cell r="I93">
            <v>17</v>
          </cell>
          <cell r="K93">
            <v>2</v>
          </cell>
          <cell r="L93">
            <v>2044</v>
          </cell>
          <cell r="N93">
            <v>44181.752083333333</v>
          </cell>
          <cell r="Y93">
            <v>0</v>
          </cell>
          <cell r="Z93">
            <v>0</v>
          </cell>
          <cell r="AA93">
            <v>0</v>
          </cell>
        </row>
        <row r="94">
          <cell r="B94" t="str">
            <v>Н.Сіверська</v>
          </cell>
          <cell r="L94">
            <v>467</v>
          </cell>
          <cell r="O94">
            <v>44181.628472222219</v>
          </cell>
          <cell r="Y94">
            <v>9</v>
          </cell>
          <cell r="Z94">
            <v>1</v>
          </cell>
          <cell r="AA94">
            <v>4</v>
          </cell>
        </row>
        <row r="95">
          <cell r="B95" t="str">
            <v>Ічнянська</v>
          </cell>
          <cell r="L95">
            <v>1132</v>
          </cell>
          <cell r="O95">
            <v>44181.78125</v>
          </cell>
          <cell r="Y95">
            <v>12</v>
          </cell>
          <cell r="Z95">
            <v>13</v>
          </cell>
          <cell r="AA95">
            <v>0.2</v>
          </cell>
        </row>
        <row r="96">
          <cell r="B96" t="str">
            <v>Ічнянська</v>
          </cell>
          <cell r="L96">
            <v>433</v>
          </cell>
          <cell r="Y96">
            <v>11</v>
          </cell>
          <cell r="Z96">
            <v>0</v>
          </cell>
          <cell r="AA96">
            <v>7</v>
          </cell>
        </row>
        <row r="97">
          <cell r="B97" t="str">
            <v>Корюківська</v>
          </cell>
          <cell r="L97">
            <v>364</v>
          </cell>
          <cell r="O97">
            <v>44181.786805555559</v>
          </cell>
          <cell r="Y97">
            <v>18</v>
          </cell>
          <cell r="Z97">
            <v>1</v>
          </cell>
          <cell r="AA97">
            <v>5</v>
          </cell>
        </row>
        <row r="98">
          <cell r="B98" t="str">
            <v>Корюківська</v>
          </cell>
          <cell r="L98">
            <v>197</v>
          </cell>
          <cell r="Y98">
            <v>4</v>
          </cell>
          <cell r="Z98">
            <v>2</v>
          </cell>
          <cell r="AA98">
            <v>2</v>
          </cell>
        </row>
        <row r="99">
          <cell r="B99" t="str">
            <v>Коропська</v>
          </cell>
          <cell r="L99">
            <v>495</v>
          </cell>
          <cell r="Y99">
            <v>15</v>
          </cell>
          <cell r="Z99">
            <v>0</v>
          </cell>
          <cell r="AA99">
            <v>2</v>
          </cell>
        </row>
        <row r="100">
          <cell r="B100" t="str">
            <v>Ічнянська</v>
          </cell>
          <cell r="L100">
            <v>355</v>
          </cell>
          <cell r="Y100">
            <v>11</v>
          </cell>
          <cell r="Z100">
            <v>0</v>
          </cell>
          <cell r="AA100">
            <v>1</v>
          </cell>
        </row>
        <row r="101">
          <cell r="L101">
            <v>0</v>
          </cell>
          <cell r="Y101">
            <v>0</v>
          </cell>
          <cell r="Z101">
            <v>0</v>
          </cell>
          <cell r="AA101">
            <v>0</v>
          </cell>
        </row>
        <row r="102">
          <cell r="L102">
            <v>0</v>
          </cell>
          <cell r="Y102">
            <v>0</v>
          </cell>
          <cell r="Z102">
            <v>0</v>
          </cell>
          <cell r="AA102">
            <v>0</v>
          </cell>
        </row>
        <row r="103">
          <cell r="L103">
            <v>0</v>
          </cell>
          <cell r="Y103">
            <v>0</v>
          </cell>
          <cell r="Z103">
            <v>0</v>
          </cell>
          <cell r="AA103">
            <v>0</v>
          </cell>
        </row>
        <row r="104">
          <cell r="L104">
            <v>0</v>
          </cell>
          <cell r="Y104">
            <v>0</v>
          </cell>
          <cell r="Z104">
            <v>0</v>
          </cell>
          <cell r="AA104">
            <v>0</v>
          </cell>
        </row>
        <row r="105">
          <cell r="L105">
            <v>0</v>
          </cell>
          <cell r="Y105">
            <v>0</v>
          </cell>
          <cell r="Z105">
            <v>0</v>
          </cell>
          <cell r="AA105">
            <v>0</v>
          </cell>
        </row>
        <row r="106">
          <cell r="L106">
            <v>0</v>
          </cell>
          <cell r="Y106">
            <v>0</v>
          </cell>
          <cell r="Z106">
            <v>0</v>
          </cell>
          <cell r="AA106">
            <v>0</v>
          </cell>
        </row>
        <row r="107">
          <cell r="L107">
            <v>0</v>
          </cell>
          <cell r="Y107">
            <v>0</v>
          </cell>
          <cell r="Z107">
            <v>0</v>
          </cell>
          <cell r="AA107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>
      <selection activeCell="L30" sqref="L30"/>
    </sheetView>
  </sheetViews>
  <sheetFormatPr defaultRowHeight="14.3" x14ac:dyDescent="0.25"/>
  <cols>
    <col min="8" max="8" width="12.7109375" customWidth="1"/>
  </cols>
  <sheetData>
    <row r="1" spans="1:11" ht="40.29999999999999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11" x14ac:dyDescent="0.25">
      <c r="A2" s="19" t="s">
        <v>1</v>
      </c>
      <c r="B2" s="15" t="s">
        <v>2</v>
      </c>
      <c r="C2" s="15"/>
      <c r="D2" s="15"/>
      <c r="E2" s="15"/>
      <c r="F2" s="15"/>
      <c r="G2" s="15"/>
      <c r="H2" s="15"/>
      <c r="I2" s="11" t="s">
        <v>3</v>
      </c>
      <c r="J2" s="13" t="s">
        <v>4</v>
      </c>
      <c r="K2" s="11" t="s">
        <v>5</v>
      </c>
    </row>
    <row r="3" spans="1:11" x14ac:dyDescent="0.25">
      <c r="A3" s="19"/>
      <c r="B3" s="15" t="s">
        <v>6</v>
      </c>
      <c r="C3" s="15"/>
      <c r="D3" s="15"/>
      <c r="E3" s="15"/>
      <c r="F3" s="15"/>
      <c r="G3" s="15"/>
      <c r="H3" s="1" t="s">
        <v>7</v>
      </c>
      <c r="I3" s="12"/>
      <c r="J3" s="14"/>
      <c r="K3" s="12"/>
    </row>
    <row r="4" spans="1:11" ht="25.7" x14ac:dyDescent="0.25">
      <c r="A4" s="19"/>
      <c r="B4" s="2" t="s">
        <v>6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3"/>
      <c r="J4" s="3"/>
      <c r="K4" s="3"/>
    </row>
    <row r="5" spans="1:11" x14ac:dyDescent="0.25">
      <c r="A5" s="4" t="s">
        <v>14</v>
      </c>
      <c r="B5" s="2">
        <f>COUNTIFS([1]Лист1!B26:B107,"Бахмацька",[1]Лист1!O26:O107,"",[1]Лист1!N26:N107,"")</f>
        <v>0</v>
      </c>
      <c r="C5" s="1">
        <f>COUNTIFS([1]Лист1!B26:B107,"Бахмацька",[1]Лист1!O26:O107,"",[1]Лист1!N26:N107,"&gt;0")</f>
        <v>0</v>
      </c>
      <c r="D5" s="1">
        <f>SUMIFS([1]Лист1!AA26:AA107,[1]Лист1!B26:B107,"Бахмацька",[1]Лист1!O26:O107,"")+SUMIFS([1]Лист1!G26:G107,[1]Лист1!B26:B107,"Бахмацька",[1]Лист1!O26:O107,"",[1]Лист1!N26:N107,"&gt;0")</f>
        <v>0</v>
      </c>
      <c r="E5" s="1">
        <f>SUMIFS([1]Лист1!Y26:Y107,[1]Лист1!B26:B107,"Бахмацька",[1]Лист1!O26:O107,"")+SUMIFS([1]Лист1!I26:I107,[1]Лист1!B26:B107,"Бахмацька",[1]Лист1!O26:O107,"",[1]Лист1!N26:N107,"&gt;0")</f>
        <v>0</v>
      </c>
      <c r="F5" s="1">
        <f>SUMIFS([1]Лист1!Z26:Z107,[1]Лист1!B26:B107,"Бахмацька",[1]Лист1!O26:O107,"")+SUMIFS([1]Лист1!K26:K107,[1]Лист1!B26:B107,"Бахмацька",[1]Лист1!O26:O107,"",[1]Лист1!N26:N107,"&gt;0")</f>
        <v>0</v>
      </c>
      <c r="G5" s="1">
        <f>SUMIFS([1]Лист1!L26:L107,[1]Лист1!B26:B107,"Бахмацька",[1]Лист1!O26:O107,"")</f>
        <v>0</v>
      </c>
      <c r="H5" s="1">
        <v>56</v>
      </c>
      <c r="I5" s="3">
        <v>9</v>
      </c>
      <c r="J5" s="3">
        <v>7</v>
      </c>
      <c r="K5" s="3">
        <v>20</v>
      </c>
    </row>
    <row r="6" spans="1:11" x14ac:dyDescent="0.25">
      <c r="A6" s="5" t="s">
        <v>15</v>
      </c>
      <c r="B6" s="2">
        <f>COUNTIFS([1]Лист1!B26:B107,"Бобровицька",[1]Лист1!O26:O107,"",[1]Лист1!N26:N107,"")</f>
        <v>0</v>
      </c>
      <c r="C6" s="2">
        <f>COUNTIFS([1]Лист1!B26:B107,"Бобровицька",[1]Лист1!O26:O107,"",[1]Лист1!N26:N107,"&gt;0")</f>
        <v>0</v>
      </c>
      <c r="D6" s="2">
        <f>SUMIFS([1]Лист1!AA26:AA107,[1]Лист1!B26:B107,"Бобровицька",[1]Лист1!O26:O107,"")+SUMIFS([1]Лист1!G26:G107,[1]Лист1!B26:B107,"Бобровицька",[1]Лист1!O26:O107,"",[1]Лист1!N26:N107,"&gt;0")</f>
        <v>0</v>
      </c>
      <c r="E6" s="2">
        <f>SUMIFS([1]Лист1!Y26:Y107,[1]Лист1!B26:B107,"Бобровицька",[1]Лист1!O26:O107,"")+SUMIFS([1]Лист1!I26:I107,[1]Лист1!B26:B107,"Бобровицька",[1]Лист1!O26:O107,"",[1]Лист1!N26:N107,"&gt;0")</f>
        <v>0</v>
      </c>
      <c r="F6" s="2">
        <f>SUMIFS([1]Лист1!Z26:Z107,[1]Лист1!B26:B107,"Бобровицька",[1]Лист1!O26:O107,"")+SUMIFS([1]Лист1!K26:K107,[1]Лист1!B26:B107,"Бобровицька",[1]Лист1!O26:O107,"",[1]Лист1!N26:N107,"&gt;0")</f>
        <v>0</v>
      </c>
      <c r="G6" s="2">
        <f>SUMIFS([1]Лист1!L26:L107,[1]Лист1!B26:B107,"Бобровицька",[1]Лист1!O26:O107,"")</f>
        <v>0</v>
      </c>
      <c r="H6" s="2"/>
      <c r="I6" s="3"/>
      <c r="J6" s="3"/>
      <c r="K6" s="3"/>
    </row>
    <row r="7" spans="1:11" x14ac:dyDescent="0.25">
      <c r="A7" s="5" t="s">
        <v>16</v>
      </c>
      <c r="B7" s="2">
        <f>COUNTIFS([1]Лист1!B26:B107,"Борзнянська",[1]Лист1!O26:O107,"",[1]Лист1!N26:N107,"")</f>
        <v>2</v>
      </c>
      <c r="C7" s="2">
        <f>COUNTIFS([1]Лист1!B26:B107,"Борзнянська",[1]Лист1!O26:O107,"",[1]Лист1!N26:N107,"&gt;0")</f>
        <v>0</v>
      </c>
      <c r="D7" s="2">
        <f>SUMIFS([1]Лист1!AA26:AA107,[1]Лист1!B26:B107,"Борзнянська",[1]Лист1!O26:O107,"")+SUMIFS([1]Лист1!G26:G107,[1]Лист1!B26:B107,"Борзнянська",[1]Лист1!O26:O107,"",[1]Лист1!N26:N107,"&gt;0")</f>
        <v>1</v>
      </c>
      <c r="E7" s="2">
        <f>SUMIFS([1]Лист1!Y26:Y107,[1]Лист1!B26:B107,"Борзнянська",[1]Лист1!O26:O107,"")+SUMIFS([1]Лист1!I26:I107,[1]Лист1!B26:B107,"Борзнянська",[1]Лист1!O26:O107,"",[1]Лист1!N26:N107,"&gt;0")</f>
        <v>15</v>
      </c>
      <c r="F7" s="2">
        <f>SUMIFS([1]Лист1!Z26:Z107,[1]Лист1!B26:B107,"Борзнянська",[1]Лист1!O26:O107,"")+SUMIFS([1]Лист1!K26:K107,[1]Лист1!B26:B107,"Борзнянська",[1]Лист1!O26:O107,"",[1]Лист1!N26:N107,"&gt;0")</f>
        <v>1</v>
      </c>
      <c r="G7" s="2">
        <f>SUMIFS([1]Лист1!L26:L107,[1]Лист1!B26:B107,"Борзнянська",[1]Лист1!O26:O107,"")</f>
        <v>2400</v>
      </c>
      <c r="H7" s="2">
        <v>115</v>
      </c>
      <c r="I7" s="3">
        <v>9</v>
      </c>
      <c r="J7" s="3">
        <v>9</v>
      </c>
      <c r="K7" s="3">
        <v>24</v>
      </c>
    </row>
    <row r="8" spans="1:11" x14ac:dyDescent="0.25">
      <c r="A8" s="5" t="s">
        <v>17</v>
      </c>
      <c r="B8" s="2">
        <f>COUNTIFS([1]Лист1!B26:B107,"Варвинська",[1]Лист1!O26:O107,"",[1]Лист1!N26:N107,"")</f>
        <v>0</v>
      </c>
      <c r="C8" s="2">
        <f>COUNTIFS([1]Лист1!B26:B107,"Варвинська",[1]Лист1!O26:O107,"",[1]Лист1!N26:N107,"&gt;0")</f>
        <v>0</v>
      </c>
      <c r="D8" s="2">
        <f>SUMIFS([1]Лист1!AA26:AA107,[1]Лист1!B26:B107,"Варвинська",[1]Лист1!O26:O107,"")+SUMIFS([1]Лист1!G26:G107,[1]Лист1!B26:B107,"Варвинська",[1]Лист1!O26:O107,"",[1]Лист1!N26:N107,"&gt;0")</f>
        <v>0</v>
      </c>
      <c r="E8" s="1">
        <f>SUMIFS([1]Лист1!Y26:Y107,[1]Лист1!B26:B107,"Варвинська",[1]Лист1!O26:O107,"")+SUMIFS([1]Лист1!I26:I107,[1]Лист1!B26:B107,"Варвинська",[1]Лист1!O26:O107,"",[1]Лист1!N26:N107,"&gt;0")</f>
        <v>0</v>
      </c>
      <c r="F8" s="2">
        <f>SUMIFS([1]Лист1!Z26:Z107,[1]Лист1!B26:B107,"Варвинська",[1]Лист1!O26:O107,"")+SUMIFS([1]Лист1!K26:K107,[1]Лист1!B26:B107,"Варвинська",[1]Лист1!O26:O107,"",[1]Лист1!N26:N107,"&gt;0")</f>
        <v>0</v>
      </c>
      <c r="G8" s="2">
        <f>SUMIFS([1]Лист1!L26:L107,[1]Лист1!B26:B107,"Варвинська",[1]Лист1!O26:O107,"")</f>
        <v>0</v>
      </c>
      <c r="H8" s="2">
        <v>2</v>
      </c>
      <c r="I8" s="3">
        <v>0</v>
      </c>
      <c r="J8" s="3">
        <v>0</v>
      </c>
      <c r="K8" s="3">
        <v>0</v>
      </c>
    </row>
    <row r="9" spans="1:11" x14ac:dyDescent="0.25">
      <c r="A9" s="5" t="s">
        <v>18</v>
      </c>
      <c r="B9" s="2">
        <f>COUNTIFS([1]Лист1!B26:B107,"Городнянська",[1]Лист1!O26:O107,"",[1]Лист1!N26:N107,"")</f>
        <v>0</v>
      </c>
      <c r="C9" s="2">
        <f>COUNTIFS([1]Лист1!B26:B107,"Городнянська",[1]Лист1!O26:O107,"",[1]Лист1!N26:N107,"&gt;0")</f>
        <v>0</v>
      </c>
      <c r="D9" s="2">
        <f>SUMIFS([1]Лист1!AA26:AA107,[1]Лист1!B26:B107,"Городнянська",[1]Лист1!O26:O107,"")+SUMIFS([1]Лист1!G26:G107,[1]Лист1!B26:B107,"Городнянська",[1]Лист1!O26:O107,"",[1]Лист1!N26:N107,"&gt;0")</f>
        <v>0</v>
      </c>
      <c r="E9" s="2">
        <f>SUMIFS([1]Лист1!Y26:Y107,[1]Лист1!B26:B107,"Городнянська",[1]Лист1!O26:O107,"")+SUMIFS([1]Лист1!I26:I107,[1]Лист1!B26:B107,"Городнянська",[1]Лист1!O26:O107,"",[1]Лист1!N26:N107,"&gt;0")</f>
        <v>0</v>
      </c>
      <c r="F9" s="2">
        <f>SUMIFS([1]Лист1!Z26:Z107,[1]Лист1!B26:B107,"Городнянська",[1]Лист1!O26:O107,"")+SUMIFS([1]Лист1!K26:K107,[1]Лист1!B26:B107,"Городнянська",[1]Лист1!O26:O107,"",[1]Лист1!N26:N107,"&gt;0")</f>
        <v>0</v>
      </c>
      <c r="G9" s="2">
        <f>SUMIFS([1]Лист1!L26:L107,[1]Лист1!B26:B107,"Городнянська",[1]Лист1!O26:O107,"")</f>
        <v>0</v>
      </c>
      <c r="H9" s="2"/>
      <c r="I9" s="3">
        <v>0</v>
      </c>
      <c r="J9" s="3">
        <v>0</v>
      </c>
      <c r="K9" s="3">
        <v>0</v>
      </c>
    </row>
    <row r="10" spans="1:11" x14ac:dyDescent="0.25">
      <c r="A10" s="5" t="s">
        <v>19</v>
      </c>
      <c r="B10" s="6">
        <f>COUNTIFS([1]Лист1!B26:B107,"Ічнянська",[1]Лист1!O26:O107,"",[1]Лист1!N26:N107,"")</f>
        <v>17</v>
      </c>
      <c r="C10" s="6">
        <f>COUNTIFS([1]Лист1!B26:B107,"Ічнянська",[1]Лист1!O26:O107,"",[1]Лист1!N26:N107,"&gt;0")</f>
        <v>3</v>
      </c>
      <c r="D10" s="7">
        <f>SUMIFS([1]Лист1!AA26:AA107,[1]Лист1!B26:B107,"Ічнянська",[1]Лист1!O26:O107,"")+SUMIFS([1]Лист1!G26:G107,[1]Лист1!B26:B107,"Ічнянська",[1]Лист1!O26:O107,"",[1]Лист1!N26:N107,"&gt;0")</f>
        <v>47.300000000000004</v>
      </c>
      <c r="E10" s="6">
        <f>SUMIFS([1]Лист1!Y26:Y107,[1]Лист1!B26:B107,"Ічнянська",[1]Лист1!O26:O107,"")+SUMIFS([1]Лист1!I26:I107,[1]Лист1!B26:B107,"Ічнянська",[1]Лист1!O26:O107,"",[1]Лист1!N26:N107,"&gt;0")</f>
        <v>191</v>
      </c>
      <c r="F10" s="6">
        <f>SUMIFS([1]Лист1!Z26:Z107,[1]Лист1!B26:B107,"Ічнянська",[1]Лист1!O26:O107,"")+SUMIFS([1]Лист1!K26:K107,[1]Лист1!B26:B107,"Ічнянська",[1]Лист1!O26:O107,"",[1]Лист1!N26:N107,"&gt;0")</f>
        <v>34</v>
      </c>
      <c r="G10" s="6">
        <f>SUMIFS([1]Лист1!L26:L107,[1]Лист1!B26:B107,"Ічнянська",[1]Лист1!O26:O107,"")</f>
        <v>7997</v>
      </c>
      <c r="H10" s="6">
        <v>70</v>
      </c>
      <c r="I10" s="3">
        <v>13</v>
      </c>
      <c r="J10" s="3">
        <v>13</v>
      </c>
      <c r="K10" s="3">
        <v>37</v>
      </c>
    </row>
    <row r="11" spans="1:11" x14ac:dyDescent="0.25">
      <c r="A11" s="5" t="s">
        <v>20</v>
      </c>
      <c r="B11" s="6">
        <f>COUNTIFS([1]Лист1!B26:B107,"Козелецька",[1]Лист1!O26:O107,"",[1]Лист1!N26:N107,"")</f>
        <v>0</v>
      </c>
      <c r="C11" s="6">
        <f>COUNTIFS([1]Лист1!B26:B107,"Козелецька",[1]Лист1!O26:O107,"",[1]Лист1!N26:N107,"&gt;0")</f>
        <v>0</v>
      </c>
      <c r="D11" s="6">
        <f>SUMIFS([1]Лист1!AA26:AA107,[1]Лист1!B26:B107,"Козелецька",[1]Лист1!O26:O107,"")+SUMIFS([1]Лист1!G26:G107,[1]Лист1!B26:B107,"Козелецька",[1]Лист1!O26:O107,"",[1]Лист1!N26:N107,"&gt;0")</f>
        <v>0</v>
      </c>
      <c r="E11" s="6">
        <f>SUMIFS([1]Лист1!Y26:Y107,[1]Лист1!B26:B107,"Козелецька",[1]Лист1!O26:O107,"")+SUMIFS([1]Лист1!I26:I107,[1]Лист1!B26:B107,"Козелецька",[1]Лист1!O26:O107,"",[1]Лист1!N26:N107,"&gt;0")</f>
        <v>0</v>
      </c>
      <c r="F11" s="6">
        <f>SUMIFS([1]Лист1!Z26:Z107,[1]Лист1!B26:B107,"Козелецька",[1]Лист1!O26:O107,"")+SUMIFS([1]Лист1!K26:K107,[1]Лист1!B26:B107,"Козелецька",[1]Лист1!O26:O107,"",[1]Лист1!N26:N107,"&gt;0")</f>
        <v>0</v>
      </c>
      <c r="G11" s="6">
        <f>SUMIFS([1]Лист1!L26:L107,[1]Лист1!B26:B107,"Козелецька",[1]Лист1!O26:O107,"")</f>
        <v>0</v>
      </c>
      <c r="H11" s="6"/>
      <c r="I11" s="3"/>
      <c r="J11" s="3"/>
      <c r="K11" s="3"/>
    </row>
    <row r="12" spans="1:11" x14ac:dyDescent="0.25">
      <c r="A12" s="5" t="s">
        <v>21</v>
      </c>
      <c r="B12" s="6">
        <f>COUNTIFS([1]Лист1!B26:B107,"Коропська",[1]Лист1!O26:O107,"",[1]Лист1!N26:N107,"")</f>
        <v>2</v>
      </c>
      <c r="C12" s="6">
        <f>COUNTIFS([1]Лист1!B26:B107,"Коропська",[1]Лист1!O26:O107,"",[1]Лист1!N26:N107,"&gt;0")</f>
        <v>2</v>
      </c>
      <c r="D12" s="6">
        <f>SUMIFS([1]Лист1!AA26:AA107,[1]Лист1!B26:B107,"Коропська",[1]Лист1!O26:O107,"")+SUMIFS([1]Лист1!G26:G107,[1]Лист1!B26:B107,"Коропська",[1]Лист1!O26:O107,"",[1]Лист1!N26:N107,"&gt;0")</f>
        <v>7.1</v>
      </c>
      <c r="E12" s="6">
        <f>SUMIFS([1]Лист1!Y26:Y107,[1]Лист1!B26:B107,"Коропська",[1]Лист1!O26:O107,"")+SUMIFS([1]Лист1!I26:I107,[1]Лист1!B26:B107,"Коропська",[1]Лист1!O26:O107,"",[1]Лист1!N26:N107,"&gt;0")</f>
        <v>34</v>
      </c>
      <c r="F12" s="6">
        <f>SUMIFS([1]Лист1!Z26:Z107,[1]Лист1!B26:B107,"Коропська",[1]Лист1!O26:O107,"")+SUMIFS([1]Лист1!K26:K107,[1]Лист1!B26:B107,"Коропська",[1]Лист1!O26:O107,"",[1]Лист1!N26:N107,"&gt;0")</f>
        <v>0</v>
      </c>
      <c r="G12" s="6">
        <f>SUMIFS([1]Лист1!L26:L107,[1]Лист1!B26:B107,"Коропська",[1]Лист1!O26:O107,"")</f>
        <v>1812</v>
      </c>
      <c r="H12" s="6">
        <v>76</v>
      </c>
      <c r="I12" s="3">
        <v>7</v>
      </c>
      <c r="J12" s="3">
        <v>6</v>
      </c>
      <c r="K12" s="3">
        <v>16</v>
      </c>
    </row>
    <row r="13" spans="1:11" x14ac:dyDescent="0.25">
      <c r="A13" s="5" t="s">
        <v>22</v>
      </c>
      <c r="B13" s="6">
        <f>COUNTIFS([1]Лист1!B26:B107,"Корюківська",[1]Лист1!O26:O107,"",[1]Лист1!N26:N107,"")</f>
        <v>1</v>
      </c>
      <c r="C13" s="6">
        <f>COUNTIFS([1]Лист1!B26:B107,"Корюківська",[1]Лист1!O26:O107,"",[1]Лист1!N26:N107,"&gt;0")</f>
        <v>2</v>
      </c>
      <c r="D13" s="6">
        <f>SUMIFS([1]Лист1!AA26:AA107,[1]Лист1!B26:B107,"Корюківська",[1]Лист1!O26:O107,"")+SUMIFS([1]Лист1!G26:G107,[1]Лист1!B26:B107,"Корюківська",[1]Лист1!O26:O107,"",[1]Лист1!N26:N107,"&gt;0")</f>
        <v>3</v>
      </c>
      <c r="E13" s="6">
        <f>SUMIFS([1]Лист1!Y26:Y107,[1]Лист1!B26:B107,"Корюківська",[1]Лист1!O26:O107,"")+SUMIFS([1]Лист1!I26:I107,[1]Лист1!B26:B107,"Корюківська",[1]Лист1!O26:O107,"",[1]Лист1!N26:N107,"&gt;0")</f>
        <v>10</v>
      </c>
      <c r="F13" s="6">
        <f>SUMIFS([1]Лист1!Z26:Z107,[1]Лист1!B26:B107,"Корюківська",[1]Лист1!O26:O107,"")+SUMIFS([1]Лист1!K26:K107,[1]Лист1!B26:B107,"Корюківська",[1]Лист1!O26:O107,"",[1]Лист1!N26:N107,"&gt;0")</f>
        <v>2</v>
      </c>
      <c r="G13" s="6">
        <f>SUMIFS([1]Лист1!L26:L107,[1]Лист1!B26:B107,"Корюківська",[1]Лист1!O26:O107,"")</f>
        <v>1109</v>
      </c>
      <c r="H13" s="6"/>
      <c r="I13" s="3">
        <v>2</v>
      </c>
      <c r="J13" s="3">
        <v>2</v>
      </c>
      <c r="K13" s="3">
        <v>4</v>
      </c>
    </row>
    <row r="14" spans="1:11" x14ac:dyDescent="0.25">
      <c r="A14" s="5" t="s">
        <v>23</v>
      </c>
      <c r="B14" s="6">
        <f>COUNTIFS([1]Лист1!B26:B107,"Куликівська",[1]Лист1!O26:O107,"",[1]Лист1!N26:N107,"")</f>
        <v>0</v>
      </c>
      <c r="C14" s="6">
        <f>COUNTIFS([1]Лист1!B26:B107,"Куликівська",[1]Лист1!O26:O107,"",[1]Лист1!N26:N107,"&gt;0")</f>
        <v>0</v>
      </c>
      <c r="D14" s="6">
        <f>SUMIFS([1]Лист1!AA26:AA107,[1]Лист1!B26:B107,"Куликівська",[1]Лист1!O26:O107,"")+SUMIFS([1]Лист1!G26:G107,[1]Лист1!B26:B107,"Куликівська",[1]Лист1!O26:O107,"",[1]Лист1!N26:N107,"&gt;0")</f>
        <v>0</v>
      </c>
      <c r="E14" s="6">
        <f>SUMIFS([1]Лист1!Y26:Y107,[1]Лист1!B26:B107,"Куликівська",[1]Лист1!O26:O107,"")+SUMIFS([1]Лист1!I26:I107,[1]Лист1!B26:B107,"Куликівська",[1]Лист1!O26:O107,"",[1]Лист1!N26:N107,"&gt;0")</f>
        <v>0</v>
      </c>
      <c r="F14" s="6">
        <f>SUMIFS([1]Лист1!Z26:Z107,[1]Лист1!B26:B107,"Куликівська",[1]Лист1!O26:O107,"")+SUMIFS([1]Лист1!K26:K107,[1]Лист1!B26:B107,"Куликівська",[1]Лист1!O26:O107,"",[1]Лист1!N26:N107,"&gt;0")</f>
        <v>0</v>
      </c>
      <c r="G14" s="6">
        <f>SUMIFS([1]Лист1!L26:L107,[1]Лист1!B26:B107,"Куликівська",[1]Лист1!O26:O107,"")</f>
        <v>0</v>
      </c>
      <c r="H14" s="6"/>
      <c r="I14" s="3"/>
      <c r="J14" s="3"/>
      <c r="K14" s="3"/>
    </row>
    <row r="15" spans="1:11" x14ac:dyDescent="0.25">
      <c r="A15" s="5" t="s">
        <v>24</v>
      </c>
      <c r="B15" s="6">
        <f>COUNTIFS([1]Лист1!B26:B107,"Менська",[1]Лист1!O26:O107,"",[1]Лист1!N26:N107,"")</f>
        <v>0</v>
      </c>
      <c r="C15" s="6">
        <f>COUNTIFS([1]Лист1!B26:B107,"Менська",[1]Лист1!O26:O107,"",[1]Лист1!N26:N107,"&gt;0")</f>
        <v>2</v>
      </c>
      <c r="D15" s="6">
        <f>SUMIFS([1]Лист1!AA26:AA107,[1]Лист1!B26:B107,"Менська",[1]Лист1!O26:O107,"")+SUMIFS([1]Лист1!G26:G107,[1]Лист1!B26:B107,"Менська",[1]Лист1!O26:O107,"",[1]Лист1!N26:N107,"&gt;0")</f>
        <v>7</v>
      </c>
      <c r="E15" s="6">
        <f>SUMIFS([1]Лист1!Y26:Y107,[1]Лист1!B26:B107,"Менська",[1]Лист1!O26:O107,"")+SUMIFS([1]Лист1!I26:I107,[1]Лист1!B26:B107,"Менська",[1]Лист1!O26:O107,"",[1]Лист1!N26:N107,"&gt;0")</f>
        <v>21</v>
      </c>
      <c r="F15" s="6">
        <f>SUMIFS([1]Лист1!Z26:Z107,[1]Лист1!B26:B107,"Менська",[1]Лист1!O26:O107,"")+SUMIFS([1]Лист1!K26:K107,[1]Лист1!B26:B107,"Менська",[1]Лист1!O26:O107,"",[1]Лист1!N26:N107,"&gt;0")</f>
        <v>2</v>
      </c>
      <c r="G15" s="6">
        <f>SUMIFS([1]Лист1!L26:L107,[1]Лист1!B26:B107,"Менська",[1]Лист1!O26:O107,"")</f>
        <v>2940</v>
      </c>
      <c r="H15" s="6"/>
      <c r="I15" s="3">
        <v>5</v>
      </c>
      <c r="J15" s="3">
        <v>5</v>
      </c>
      <c r="K15" s="3">
        <v>15</v>
      </c>
    </row>
    <row r="16" spans="1:11" x14ac:dyDescent="0.25">
      <c r="A16" s="5" t="s">
        <v>25</v>
      </c>
      <c r="B16" s="6">
        <f>COUNTIFS([1]Лист1!B26:B107,"Ніжинська",[1]Лист1!O26:O107,"",[1]Лист1!N26:N107,"")</f>
        <v>0</v>
      </c>
      <c r="C16" s="7">
        <f>COUNTIFS([1]Лист1!B26:B107,"Ніжинська",[1]Лист1!O26:O107,"",[1]Лист1!N26:N107,"&gt;0")</f>
        <v>0</v>
      </c>
      <c r="D16" s="7">
        <f>SUMIFS([1]Лист1!AA26:AA107,[1]Лист1!B26:B107,"Ніжинська",[1]Лист1!O26:O107,"")+SUMIFS([1]Лист1!G26:G107,[1]Лист1!B26:B107,"Ніжинська",[1]Лист1!O26:O107,"",[1]Лист1!N26:N107,"&gt;0")</f>
        <v>0</v>
      </c>
      <c r="E16" s="6">
        <f>SUMIFS([1]Лист1!Y26:Y107,[1]Лист1!B26:B107,"Ніжинська",[1]Лист1!O26:O107,"")+SUMIFS([1]Лист1!I26:I107,[1]Лист1!B26:B107,"Ніжинська",[1]Лист1!O26:O107,"",[1]Лист1!N26:N107,"&gt;0")</f>
        <v>0</v>
      </c>
      <c r="F16" s="6">
        <f>SUMIFS([1]Лист1!Z26:Z107,[1]Лист1!B26:B107,"Ніжинська",[1]Лист1!O26:O107,"")+SUMIFS([1]Лист1!K26:K107,[1]Лист1!B26:B107,"Ніжинська",[1]Лист1!O26:O107,"",[1]Лист1!N26:N107,"&gt;0")</f>
        <v>0</v>
      </c>
      <c r="G16" s="6">
        <f>SUMIFS([1]Лист1!L26:L107,[1]Лист1!B26:B107,"Ніжинська",[1]Лист1!O26:O107,"")</f>
        <v>0</v>
      </c>
      <c r="H16" s="6"/>
      <c r="I16" s="3"/>
      <c r="J16" s="3"/>
      <c r="K16" s="3"/>
    </row>
    <row r="17" spans="1:15" x14ac:dyDescent="0.25">
      <c r="A17" s="5" t="s">
        <v>26</v>
      </c>
      <c r="B17" s="6">
        <f>COUNTIFS([1]Лист1!B26:B107,"Н.Сіверська",[1]Лист1!O26:O107,"",[1]Лист1!N26:N107,"")</f>
        <v>0</v>
      </c>
      <c r="C17" s="6">
        <f>COUNTIFS([1]Лист1!B26:B107,"Н.Сіверська",[1]Лист1!O26:O107,"",[1]Лист1!N26:N107,"&gt;0")</f>
        <v>3</v>
      </c>
      <c r="D17" s="7">
        <f>SUMIFS([1]Лист1!AA26:AA107,[1]Лист1!B26:B107,"Н.Сіверська",[1]Лист1!O26:O107,"")+SUMIFS([1]Лист1!G26:G107,[1]Лист1!B26:B107,"Н.Сіверська",[1]Лист1!O26:O107,"",[1]Лист1!N26:N107,"&gt;0")</f>
        <v>5.0999999999999996</v>
      </c>
      <c r="E17" s="6">
        <f>SUMIFS([1]Лист1!Y26:Y107,[1]Лист1!B26:B107,"Н.Сіверська",[1]Лист1!O26:O107,"")+SUMIFS([1]Лист1!I26:I107,[1]Лист1!B26:B107,"Н.Сіверська",[1]Лист1!O26:O107,"",[1]Лист1!N26:N107,"&gt;0")</f>
        <v>16</v>
      </c>
      <c r="F17" s="6">
        <f>SUMIFS([1]Лист1!Z26:Z107,[1]Лист1!B26:B107,"Н.Сіверська",[1]Лист1!O26:O107,"")+SUMIFS([1]Лист1!K26:K107,[1]Лист1!B26:B107,"Н.Сіверська",[1]Лист1!O26:O107,"",[1]Лист1!N26:N107,"&gt;0")</f>
        <v>1</v>
      </c>
      <c r="G17" s="6">
        <f>SUMIFS([1]Лист1!L26:L107,[1]Лист1!B26:B107,"Н.Сіверська",[1]Лист1!O26:O107,"")</f>
        <v>770</v>
      </c>
      <c r="H17" s="6">
        <v>25</v>
      </c>
      <c r="I17" s="3">
        <v>5</v>
      </c>
      <c r="J17" s="3">
        <v>5</v>
      </c>
      <c r="K17" s="3">
        <v>14</v>
      </c>
    </row>
    <row r="18" spans="1:15" x14ac:dyDescent="0.25">
      <c r="A18" s="5" t="s">
        <v>27</v>
      </c>
      <c r="B18" s="6">
        <f>COUNTIFS([1]Лист1!B26:B107,"Носовська",[1]Лист1!O26:O107,"",[1]Лист1!N26:N107,"")</f>
        <v>0</v>
      </c>
      <c r="C18" s="6">
        <f>COUNTIFS([1]Лист1!B26:B107,"Носовська",[1]Лист1!O26:O107,"",[1]Лист1!N26:N107,"&gt;0")</f>
        <v>0</v>
      </c>
      <c r="D18" s="6">
        <f>SUMIFS([1]Лист1!AA26:AA107,[1]Лист1!B26:B107,"Носовська",[1]Лист1!O26:O107,"")+SUMIFS([1]Лист1!G26:G107,[1]Лист1!B26:B107,"Носовська",[1]Лист1!O26:O107,"",[1]Лист1!N26:N107,"&gt;0")</f>
        <v>0</v>
      </c>
      <c r="E18" s="6">
        <f>SUMIFS([1]Лист1!Y26:Y107,[1]Лист1!B26:B107,"Носовська",[1]Лист1!O26:O107,"")+SUMIFS([1]Лист1!I26:I107,[1]Лист1!B26:B107,"Носовська",[1]Лист1!O26:O107,"",[1]Лист1!N26:N107,"&gt;0")</f>
        <v>0</v>
      </c>
      <c r="F18" s="6">
        <f>SUMIFS([1]Лист1!Z26:Z107,[1]Лист1!B26:B107,"Носовська",[1]Лист1!O26:O107,"")+SUMIFS([1]Лист1!K26:K107,[1]Лист1!B26:B107,"Носовська",[1]Лист1!O26:O107,"",[1]Лист1!N26:N107,"&gt;0")</f>
        <v>0</v>
      </c>
      <c r="G18" s="6">
        <f>SUMIFS([1]Лист1!L26:L107,[1]Лист1!B26:B107,"Носовська",[1]Лист1!O26:O107,"")</f>
        <v>0</v>
      </c>
      <c r="H18" s="6"/>
      <c r="I18" s="3">
        <v>0</v>
      </c>
      <c r="J18" s="3">
        <v>0</v>
      </c>
      <c r="K18" s="3">
        <v>0</v>
      </c>
    </row>
    <row r="19" spans="1:15" x14ac:dyDescent="0.25">
      <c r="A19" s="5" t="s">
        <v>28</v>
      </c>
      <c r="B19" s="6">
        <f>COUNTIFS([1]Лист1!B26:B107,"Прилуцька",[1]Лист1!O26:O107,"",[1]Лист1!N26:N107,"")</f>
        <v>2</v>
      </c>
      <c r="C19" s="6">
        <f>COUNTIFS([1]Лист1!B26:B107,"Прилуцька",[1]Лист1!O26:O107,"",[1]Лист1!N26:N107,"&gt;0")</f>
        <v>4</v>
      </c>
      <c r="D19" s="7">
        <f>SUMIFS([1]Лист1!AA26:AA107,[1]Лист1!B26:B107,"Прилуцька",[1]Лист1!O26:O107,"")+SUMIFS([1]Лист1!G26:G107,[1]Лист1!B26:B107,"Прилуцька",[1]Лист1!O26:O107,"",[1]Лист1!N26:N107,"&gt;0")</f>
        <v>9</v>
      </c>
      <c r="E19" s="6">
        <f>SUMIFS([1]Лист1!Y26:Y107,[1]Лист1!B26:B107,"Прилуцька",[1]Лист1!O26:O107,"")+SUMIFS([1]Лист1!I26:I107,[1]Лист1!B26:B107,"Прилуцька",[1]Лист1!O26:O107,"",[1]Лист1!N26:N107,"&gt;0")</f>
        <v>25</v>
      </c>
      <c r="F19" s="6">
        <f>SUMIFS([1]Лист1!Z26:Z107,[1]Лист1!B26:B107,"Прилуцька",[1]Лист1!O26:O107,"")+SUMIFS([1]Лист1!K26:K107,[1]Лист1!B26:B107,"Прилуцька",[1]Лист1!O26:O107,"",[1]Лист1!N26:N107,"&gt;0")</f>
        <v>4</v>
      </c>
      <c r="G19" s="6">
        <f>SUMIFS([1]Лист1!L26:L107,[1]Лист1!B26:B107,"Прилуцька",[1]Лист1!O26:O107,"")</f>
        <v>3913</v>
      </c>
      <c r="H19" s="6">
        <v>111</v>
      </c>
      <c r="I19" s="3">
        <v>12</v>
      </c>
      <c r="J19" s="3">
        <v>11</v>
      </c>
      <c r="K19" s="3">
        <v>30</v>
      </c>
    </row>
    <row r="20" spans="1:15" x14ac:dyDescent="0.25">
      <c r="A20" s="5" t="s">
        <v>29</v>
      </c>
      <c r="B20" s="6">
        <f>COUNTIFS([1]Лист1!B26:B107,"Ріпкінська",[1]Лист1!O26:O107,"",[1]Лист1!N26:N107,"")</f>
        <v>0</v>
      </c>
      <c r="C20" s="6">
        <f>COUNTIFS([1]Лист1!B26:B107,"Ріпкінська",[1]Лист1!O26:O107,"",[1]Лист1!N26:N107,"&gt;0")</f>
        <v>0</v>
      </c>
      <c r="D20" s="6">
        <f>SUMIFS([1]Лист1!AA26:AA107,[1]Лист1!B26:B107,"Ріпкінська",[1]Лист1!O26:O107,"")+SUMIFS([1]Лист1!G26:G107,[1]Лист1!B26:B107,"Ріпкінська",[1]Лист1!O26:O107,"",[1]Лист1!N26:N107,"&gt;0")</f>
        <v>0</v>
      </c>
      <c r="E20" s="6">
        <f>SUMIFS([1]Лист1!Y26:Y107,[1]Лист1!B26:B107,"Ріпкінська",[1]Лист1!O26:O107,"")+SUMIFS([1]Лист1!I26:I107,[1]Лист1!B26:B107,"Ріпкінська",[1]Лист1!O26:O107,"",[1]Лист1!N26:N107,"&gt;0")</f>
        <v>0</v>
      </c>
      <c r="F20" s="6">
        <f>SUMIFS([1]Лист1!Z26:Z107,[1]Лист1!B26:B107,"Ріпкінська",[1]Лист1!O26:O107,"")+SUMIFS([1]Лист1!K26:K107,[1]Лист1!B26:B107,"Ріпкінська",[1]Лист1!O26:O107,"",[1]Лист1!N26:N107,"&gt;0")</f>
        <v>0</v>
      </c>
      <c r="G20" s="6">
        <f>SUMIFS([1]Лист1!L26:L107,[1]Лист1!B26:B107,"Ріпкінська",[1]Лист1!O26:O107,"")</f>
        <v>0</v>
      </c>
      <c r="H20" s="6">
        <v>1</v>
      </c>
      <c r="I20" s="3">
        <v>1</v>
      </c>
      <c r="J20" s="3">
        <v>1</v>
      </c>
      <c r="K20" s="3">
        <v>3</v>
      </c>
    </row>
    <row r="21" spans="1:15" x14ac:dyDescent="0.25">
      <c r="A21" s="5" t="s">
        <v>30</v>
      </c>
      <c r="B21" s="6">
        <f>COUNTIFS([1]Лист1!B26:B107,"Семенівська",[1]Лист1!O26:O107,"",[1]Лист1!N26:N107,"")</f>
        <v>0</v>
      </c>
      <c r="C21" s="6">
        <f>COUNTIFS([1]Лист1!B26:B107,"Семенівська",[1]Лист1!O26:O107,"",[1]Лист1!N26:N107,"&gt;0")</f>
        <v>1</v>
      </c>
      <c r="D21" s="6">
        <f>SUMIFS([1]Лист1!AA26:AA107,[1]Лист1!B26:B107,"Семенівська",[1]Лист1!O26:O107,"")+SUMIFS([1]Лист1!G26:G107,[1]Лист1!B26:B107,"Семенівська",[1]Лист1!O26:O107,"",[1]Лист1!N26:N107,"&gt;0")</f>
        <v>1</v>
      </c>
      <c r="E21" s="6">
        <f>SUMIFS([1]Лист1!Y26:Y107,[1]Лист1!B26:B107,"Семенівська",[1]Лист1!O26:O107,"")+SUMIFS([1]Лист1!I26:I107,[1]Лист1!B26:B107,"Семенівська",[1]Лист1!O26:O107,"",[1]Лист1!N26:N107,"&gt;0")</f>
        <v>1</v>
      </c>
      <c r="F21" s="6">
        <f>SUMIFS([1]Лист1!Z26:Z107,[1]Лист1!B26:B107,"Семенівська",[1]Лист1!O26:O107,"")+SUMIFS([1]Лист1!K26:K107,[1]Лист1!B26:B107,"Семенівська",[1]Лист1!O26:O107,"",[1]Лист1!N26:N107,"&gt;0")</f>
        <v>0</v>
      </c>
      <c r="G21" s="6">
        <f>SUMIFS([1]Лист1!L26:L107,[1]Лист1!B26:B107,"Семенівська",[1]Лист1!O26:O107,"")</f>
        <v>265</v>
      </c>
      <c r="H21" s="6"/>
      <c r="I21" s="3">
        <v>3</v>
      </c>
      <c r="J21" s="3">
        <v>3</v>
      </c>
      <c r="K21" s="3">
        <v>8</v>
      </c>
    </row>
    <row r="22" spans="1:15" x14ac:dyDescent="0.25">
      <c r="A22" s="5" t="s">
        <v>31</v>
      </c>
      <c r="B22" s="6">
        <f>COUNTIFS([1]Лист1!B26:B107,"Срібнянська",[1]Лист1!O26:O107,"",[1]Лист1!N26:N107,"")</f>
        <v>0</v>
      </c>
      <c r="C22" s="6">
        <f>COUNTIFS([1]Лист1!B26:B107,"Срібнянська",[1]Лист1!O26:O107,"",[1]Лист1!N26:N107,"&gt;0")</f>
        <v>0</v>
      </c>
      <c r="D22" s="6">
        <f>SUMIFS([1]Лист1!AA26:AA107,[1]Лист1!B26:B107,"Срібнянська",[1]Лист1!O26:O107,"")+SUMIFS([1]Лист1!G26:G107,[1]Лист1!B26:B107,"Срібнянська",[1]Лист1!O26:O107,"",[1]Лист1!N26:N107,"&gt;0")</f>
        <v>0</v>
      </c>
      <c r="E22" s="6">
        <f>SUMIFS([1]Лист1!Y26:Y107,[1]Лист1!B26:B107,"Срібнянська",[1]Лист1!O26:O107,"")+SUMIFS([1]Лист1!I26:I107,[1]Лист1!B26:B107,"Срібнянська",[1]Лист1!O26:O107,"",[1]Лист1!N26:N107,"&gt;0")</f>
        <v>0</v>
      </c>
      <c r="F22" s="6">
        <f>SUMIFS([1]Лист1!Z26:Z107,[1]Лист1!B26:B107,"Срібнянська",[1]Лист1!O26:O107,"")+SUMIFS([1]Лист1!K26:K107,[1]Лист1!B26:B107,"Срібнянська",[1]Лист1!O26:O107,"",[1]Лист1!N26:N107,"&gt;0")</f>
        <v>0</v>
      </c>
      <c r="G22" s="6">
        <f>SUMIFS([1]Лист1!L26:L107,[1]Лист1!B26:B107,"Срібнянська",[1]Лист1!O26:O107,"")</f>
        <v>0</v>
      </c>
      <c r="H22" s="6">
        <v>2</v>
      </c>
      <c r="I22" s="3">
        <v>2</v>
      </c>
      <c r="J22" s="3">
        <v>2</v>
      </c>
      <c r="K22" s="3">
        <v>6</v>
      </c>
    </row>
    <row r="23" spans="1:15" x14ac:dyDescent="0.25">
      <c r="A23" s="5" t="s">
        <v>32</v>
      </c>
      <c r="B23" s="6">
        <f>COUNTIFS([1]Лист1!B26:B107,"Талалаївська",[1]Лист1!O26:O107,"",[1]Лист1!N26:N107,"")</f>
        <v>0</v>
      </c>
      <c r="C23" s="6">
        <f>COUNTIFS([1]Лист1!B26:B107,"Талалаївська",[1]Лист1!O26:O107,"",[1]Лист1!N26:N107,"&gt;0")</f>
        <v>0</v>
      </c>
      <c r="D23" s="6">
        <f>SUMIFS([1]Лист1!AA26:AA107,[1]Лист1!B26:B107,"Талалаївська",[1]Лист1!O26:O107,"")+SUMIFS([1]Лист1!G26:G107,[1]Лист1!B26:B107,"Талалаївська",[1]Лист1!O26:O107,"",[1]Лист1!N26:N107,"&gt;0")</f>
        <v>0</v>
      </c>
      <c r="E23" s="6">
        <f>SUMIFS([1]Лист1!Y26:Y107,[1]Лист1!B26:B107,"Талалаївська",[1]Лист1!O26:O107,"")+SUMIFS([1]Лист1!I26:I107,[1]Лист1!B26:B107,"Талалаївська",[1]Лист1!O26:O107,"",[1]Лист1!N26:N107,"&gt;0")</f>
        <v>0</v>
      </c>
      <c r="F23" s="6">
        <f>SUMIFS([1]Лист1!Z26:Z107,[1]Лист1!B26:B107,"Талалаївська",[1]Лист1!O26:O107,"")+SUMIFS([1]Лист1!K26:K107,[1]Лист1!B26:B107,"Талалаївська",[1]Лист1!O26:O107,"",[1]Лист1!N26:N107,"&gt;0")</f>
        <v>0</v>
      </c>
      <c r="G23" s="6">
        <f>SUMIFS([1]Лист1!L26:L107,[1]Лист1!B26:B107,"Талалаївська",[1]Лист1!O26:O107,"")</f>
        <v>0</v>
      </c>
      <c r="H23" s="6">
        <v>2</v>
      </c>
      <c r="I23" s="3">
        <v>2</v>
      </c>
      <c r="J23" s="3">
        <v>2</v>
      </c>
      <c r="K23" s="3">
        <v>5</v>
      </c>
    </row>
    <row r="24" spans="1:15" x14ac:dyDescent="0.25">
      <c r="A24" s="5" t="s">
        <v>33</v>
      </c>
      <c r="B24" s="6">
        <f>COUNTIFS([1]Лист1!B26:B107,"Чернігівська",[1]Лист1!O26:O107,"",[1]Лист1!N26:N107,"")</f>
        <v>0</v>
      </c>
      <c r="C24" s="6">
        <f>COUNTIFS([1]Лист1!B26:B107,"Чернігівська",[1]Лист1!O26:O107,"",[1]Лист1!N26:N107,"&gt;0")</f>
        <v>0</v>
      </c>
      <c r="D24" s="7">
        <f>SUMIFS([1]Лист1!AA26:AA107,[1]Лист1!B26:B107,"Чернігівська",[1]Лист1!O26:O107,"")+SUMIFS([1]Лист1!G26:G107,[1]Лист1!B26:B107,"Чернігівська",[1]Лист1!O26:O107,"",[1]Лист1!N26:N107,"&gt;0")</f>
        <v>0</v>
      </c>
      <c r="E24" s="6">
        <f>SUMIFS([1]Лист1!Y26:Y107,[1]Лист1!B26:B107,"Чернігівська",[1]Лист1!O26:O107,"")+SUMIFS([1]Лист1!I26:I107,[1]Лист1!B26:B107,"Чернігівська",[1]Лист1!O26:O107,"",[1]Лист1!N26:N107,"&gt;0")</f>
        <v>0</v>
      </c>
      <c r="F24" s="6">
        <f>SUMIFS([1]Лист1!Z26:Z107,[1]Лист1!B26:B107,"Чернігівська",[1]Лист1!O26:O107,"")+SUMIFS([1]Лист1!K26:K107,[1]Лист1!B26:B107,"Чернігівська",[1]Лист1!O26:O107,"",[1]Лист1!N26:N107,"&gt;0")</f>
        <v>0</v>
      </c>
      <c r="G24" s="6">
        <f>SUMIFS([1]Лист1!L26:L107,[1]Лист1!B26:B107,"Чернігівська",[1]Лист1!O26:O107,"")</f>
        <v>0</v>
      </c>
      <c r="H24" s="6"/>
      <c r="I24" s="3"/>
      <c r="J24" s="3"/>
      <c r="K24" s="3"/>
    </row>
    <row r="25" spans="1:15" x14ac:dyDescent="0.25">
      <c r="A25" s="5" t="s">
        <v>34</v>
      </c>
      <c r="B25" s="6">
        <f>COUNTIFS([1]Лист1!B26:B107,"Сновська",[1]Лист1!O26:O107,"",[1]Лист1!N26:N107,"")</f>
        <v>0</v>
      </c>
      <c r="C25" s="6">
        <f>COUNTIFS([1]Лист1!B26:B107,"Сновська",[1]Лист1!O26:O107,"",[1]Лист1!N26:N107,"&gt;0")</f>
        <v>0</v>
      </c>
      <c r="D25" s="6">
        <f>SUMIFS([1]Лист1!AA26:AA107,[1]Лист1!B26:B107,"Сновська",[1]Лист1!O26:O107,"")+SUMIFS([1]Лист1!G26:G107,[1]Лист1!B26:B107,"Сновська",[1]Лист1!O26:O107,"",[1]Лист1!N26:N107,"&gt;0")</f>
        <v>0</v>
      </c>
      <c r="E25" s="6">
        <f>SUMIFS([1]Лист1!Y26:Y107,[1]Лист1!B26:B107,"Сновська",[1]Лист1!O26:O107,"")+SUMIFS([1]Лист1!I26:I107,[1]Лист1!B26:B107,"Сновська",[1]Лист1!O26:O107,"",[1]Лист1!N26:N107,"&gt;0")</f>
        <v>0</v>
      </c>
      <c r="F25" s="6">
        <f>SUMIFS([1]Лист1!Z26:Z107,[1]Лист1!B26:B107,"Сновська",[1]Лист1!O26:O107,"")+SUMIFS([1]Лист1!K26:K107,[1]Лист1!B26:B107,"Сновська",[1]Лист1!O26:O107,"",[1]Лист1!N26:N107,"&gt;0")</f>
        <v>0</v>
      </c>
      <c r="G25" s="6">
        <f>SUMIFS([1]Лист1!L26:L107,[1]Лист1!B26:B107,"Сновська",[1]Лист1!O26:O107,"")</f>
        <v>0</v>
      </c>
      <c r="H25" s="6"/>
      <c r="I25" s="3"/>
      <c r="J25" s="3"/>
      <c r="K25" s="3"/>
    </row>
    <row r="26" spans="1:15" x14ac:dyDescent="0.25">
      <c r="A26" s="5" t="s">
        <v>35</v>
      </c>
      <c r="B26" s="6">
        <f>COUNTIFS([1]Лист1!B26:B107,"МЕМ",[1]Лист1!O26:O107,"",[1]Лист1!N26:N107,"")</f>
        <v>0</v>
      </c>
      <c r="C26" s="6">
        <f>COUNTIFS([1]Лист1!B26:B107,"МЕМ",[1]Лист1!O26:O107,"",[1]Лист1!N26:N107,"&gt;0")</f>
        <v>0</v>
      </c>
      <c r="D26" s="6">
        <f>SUMIFS([1]Лист1!AA26:AA107,[1]Лист1!B26:B107,"МЕМ",[1]Лист1!O26:O107,"")+SUMIFS([1]Лист1!G26:G107,[1]Лист1!B26:B107,"МЕМ",[1]Лист1!O26:O107,"",[1]Лист1!N26:N107,"&gt;0")</f>
        <v>0</v>
      </c>
      <c r="E26" s="6">
        <f>SUMIFS([1]Лист1!Y26:Y107,[1]Лист1!B26:B107,"МЕМ",[1]Лист1!O26:O107,"")+SUMIFS([1]Лист1!I26:I107,[1]Лист1!B26:B107,"МЕМ",[1]Лист1!O26:O107,"",[1]Лист1!N26:N107,"&gt;0")</f>
        <v>0</v>
      </c>
      <c r="F26" s="6">
        <f>SUMIFS([1]Лист1!Z26:Z107,[1]Лист1!B26:B107,"МЕМ",[1]Лист1!O26:O107,"")+SUMIFS([1]Лист1!K26:K107,[1]Лист1!B26:B107,"МЕМ",[1]Лист1!O26:O107,"",[1]Лист1!N26:N107,"&gt;0")</f>
        <v>0</v>
      </c>
      <c r="G26" s="6">
        <f>SUMIFS([1]Лист1!L26:L107,[1]Лист1!B26:B107,"МЕМ",[1]Лист1!O26:O107,"")</f>
        <v>0</v>
      </c>
      <c r="H26" s="6"/>
      <c r="I26" s="3"/>
      <c r="J26" s="3"/>
      <c r="K26" s="3"/>
    </row>
    <row r="27" spans="1:15" x14ac:dyDescent="0.25">
      <c r="A27" s="8" t="s">
        <v>36</v>
      </c>
      <c r="B27" s="9">
        <f t="shared" ref="B27:G27" si="0">SUM(B5:B26)</f>
        <v>24</v>
      </c>
      <c r="C27" s="9">
        <f t="shared" si="0"/>
        <v>17</v>
      </c>
      <c r="D27" s="9">
        <f t="shared" si="0"/>
        <v>80.5</v>
      </c>
      <c r="E27" s="9">
        <f t="shared" si="0"/>
        <v>313</v>
      </c>
      <c r="F27" s="9">
        <f>SUM(F5:F26)</f>
        <v>44</v>
      </c>
      <c r="G27" s="9">
        <f t="shared" si="0"/>
        <v>21206</v>
      </c>
      <c r="H27" s="9">
        <f>SUM(H5:H23)</f>
        <v>460</v>
      </c>
      <c r="I27" s="3">
        <f>SUM(I5:I26)</f>
        <v>70</v>
      </c>
      <c r="J27" s="3">
        <f>SUM(J5:J26)</f>
        <v>66</v>
      </c>
      <c r="K27" s="3">
        <f>SUM(K5:K26)</f>
        <v>182</v>
      </c>
    </row>
    <row r="28" spans="1:15" x14ac:dyDescent="0.25">
      <c r="A28" s="5" t="s">
        <v>37</v>
      </c>
      <c r="B28" s="2"/>
      <c r="C28" s="2"/>
      <c r="D28" s="2"/>
      <c r="E28" s="2"/>
      <c r="F28" s="2"/>
      <c r="G28" s="2"/>
      <c r="H28" s="2"/>
    </row>
    <row r="29" spans="1:15" x14ac:dyDescent="0.25">
      <c r="A29" s="5" t="s">
        <v>38</v>
      </c>
      <c r="B29" s="2"/>
      <c r="C29" s="2"/>
      <c r="D29" s="2"/>
      <c r="E29" s="2"/>
      <c r="F29" s="2"/>
      <c r="G29" s="2"/>
      <c r="H29" s="2"/>
    </row>
    <row r="30" spans="1:15" x14ac:dyDescent="0.25">
      <c r="A30" s="16" t="s">
        <v>47</v>
      </c>
      <c r="B30" s="17"/>
      <c r="C30" s="17"/>
      <c r="D30" s="17"/>
      <c r="E30" s="17"/>
      <c r="F30" s="17"/>
      <c r="G30" s="17"/>
      <c r="H30" s="17"/>
      <c r="I30" s="10"/>
      <c r="J30" s="10"/>
      <c r="K30" s="10"/>
      <c r="L30" s="10"/>
    </row>
    <row r="31" spans="1:1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</row>
    <row r="32" spans="1:15" ht="45.65" customHeight="1" x14ac:dyDescent="0.25"/>
    <row r="33" spans="1:8" x14ac:dyDescent="0.25">
      <c r="A33" s="18" t="s">
        <v>39</v>
      </c>
      <c r="B33" s="18"/>
      <c r="C33" s="18"/>
      <c r="D33" s="18"/>
      <c r="E33" s="18"/>
      <c r="F33" s="18"/>
      <c r="G33" s="18"/>
      <c r="H33" s="18"/>
    </row>
    <row r="34" spans="1:8" x14ac:dyDescent="0.25">
      <c r="A34" s="19" t="s">
        <v>40</v>
      </c>
      <c r="B34" s="15" t="s">
        <v>2</v>
      </c>
      <c r="C34" s="15"/>
      <c r="D34" s="15"/>
      <c r="E34" s="15"/>
      <c r="F34" s="15"/>
      <c r="G34" s="15"/>
      <c r="H34" s="15"/>
    </row>
    <row r="35" spans="1:8" x14ac:dyDescent="0.25">
      <c r="A35" s="19"/>
      <c r="B35" s="15" t="s">
        <v>6</v>
      </c>
      <c r="C35" s="15"/>
      <c r="D35" s="15"/>
      <c r="E35" s="15"/>
      <c r="F35" s="15"/>
      <c r="G35" s="15"/>
      <c r="H35" s="1" t="s">
        <v>7</v>
      </c>
    </row>
    <row r="36" spans="1:8" ht="25.7" x14ac:dyDescent="0.25">
      <c r="A36" s="19"/>
      <c r="B36" s="2" t="s">
        <v>6</v>
      </c>
      <c r="C36" s="1" t="s">
        <v>8</v>
      </c>
      <c r="D36" s="1" t="s">
        <v>9</v>
      </c>
      <c r="E36" s="1" t="s">
        <v>10</v>
      </c>
      <c r="F36" s="1" t="s">
        <v>11</v>
      </c>
      <c r="G36" s="1" t="s">
        <v>12</v>
      </c>
      <c r="H36" s="1" t="s">
        <v>13</v>
      </c>
    </row>
    <row r="37" spans="1:8" x14ac:dyDescent="0.25">
      <c r="A37" s="3" t="s">
        <v>41</v>
      </c>
      <c r="B37" s="3">
        <f t="shared" ref="B37:H37" si="1">SUM(B5,B7,B12)</f>
        <v>4</v>
      </c>
      <c r="C37" s="3">
        <f t="shared" si="1"/>
        <v>2</v>
      </c>
      <c r="D37" s="3">
        <f t="shared" si="1"/>
        <v>8.1</v>
      </c>
      <c r="E37" s="3">
        <f t="shared" si="1"/>
        <v>49</v>
      </c>
      <c r="F37" s="3">
        <f t="shared" si="1"/>
        <v>1</v>
      </c>
      <c r="G37" s="3">
        <f t="shared" si="1"/>
        <v>4212</v>
      </c>
      <c r="H37" s="3">
        <f t="shared" si="1"/>
        <v>247</v>
      </c>
    </row>
    <row r="38" spans="1:8" x14ac:dyDescent="0.25">
      <c r="A38" s="3" t="s">
        <v>42</v>
      </c>
      <c r="B38" s="3">
        <f t="shared" ref="B38:H38" si="2">SUM(B13,B15,B17,B21,B25)</f>
        <v>1</v>
      </c>
      <c r="C38" s="3">
        <f t="shared" si="2"/>
        <v>8</v>
      </c>
      <c r="D38" s="3">
        <f t="shared" si="2"/>
        <v>16.100000000000001</v>
      </c>
      <c r="E38" s="3">
        <f t="shared" si="2"/>
        <v>48</v>
      </c>
      <c r="F38" s="3">
        <f t="shared" si="2"/>
        <v>5</v>
      </c>
      <c r="G38" s="3">
        <f t="shared" si="2"/>
        <v>5084</v>
      </c>
      <c r="H38" s="3">
        <f t="shared" si="2"/>
        <v>25</v>
      </c>
    </row>
    <row r="39" spans="1:8" x14ac:dyDescent="0.25">
      <c r="A39" s="3" t="s">
        <v>43</v>
      </c>
      <c r="B39" s="3">
        <f>SUM(B16,B6,B18)</f>
        <v>0</v>
      </c>
      <c r="C39" s="3">
        <f t="shared" ref="C39:H39" si="3">SUM(C16,C6,C18)</f>
        <v>0</v>
      </c>
      <c r="D39" s="3">
        <f t="shared" si="3"/>
        <v>0</v>
      </c>
      <c r="E39" s="3">
        <f t="shared" si="3"/>
        <v>0</v>
      </c>
      <c r="F39" s="3">
        <f t="shared" si="3"/>
        <v>0</v>
      </c>
      <c r="G39" s="3">
        <f t="shared" si="3"/>
        <v>0</v>
      </c>
      <c r="H39" s="3">
        <f t="shared" si="3"/>
        <v>0</v>
      </c>
    </row>
    <row r="40" spans="1:8" x14ac:dyDescent="0.25">
      <c r="A40" s="3" t="s">
        <v>44</v>
      </c>
      <c r="B40" s="3">
        <f>SUM(B19,B8,B10,B22,B23)</f>
        <v>19</v>
      </c>
      <c r="C40" s="3">
        <f t="shared" ref="C40:H40" si="4">SUM(C19,C8,C10,C22,C23)</f>
        <v>7</v>
      </c>
      <c r="D40" s="3">
        <f t="shared" si="4"/>
        <v>56.300000000000004</v>
      </c>
      <c r="E40" s="3">
        <f t="shared" si="4"/>
        <v>216</v>
      </c>
      <c r="F40" s="3">
        <f t="shared" si="4"/>
        <v>38</v>
      </c>
      <c r="G40" s="3">
        <f t="shared" si="4"/>
        <v>11910</v>
      </c>
      <c r="H40" s="3">
        <f t="shared" si="4"/>
        <v>187</v>
      </c>
    </row>
    <row r="41" spans="1:8" x14ac:dyDescent="0.25">
      <c r="A41" s="3" t="s">
        <v>45</v>
      </c>
      <c r="B41" s="3">
        <f>SUM(B24,B9,B11,B14,B20)</f>
        <v>0</v>
      </c>
      <c r="C41" s="3">
        <f t="shared" ref="C41:H41" si="5">SUM(C24,C9,C11,C14,C20)</f>
        <v>0</v>
      </c>
      <c r="D41" s="3">
        <f t="shared" si="5"/>
        <v>0</v>
      </c>
      <c r="E41" s="3">
        <f t="shared" si="5"/>
        <v>0</v>
      </c>
      <c r="F41" s="3">
        <f t="shared" si="5"/>
        <v>0</v>
      </c>
      <c r="G41" s="3">
        <f t="shared" si="5"/>
        <v>0</v>
      </c>
      <c r="H41" s="3">
        <f t="shared" si="5"/>
        <v>1</v>
      </c>
    </row>
    <row r="42" spans="1:8" x14ac:dyDescent="0.25">
      <c r="A42" s="3" t="s">
        <v>46</v>
      </c>
      <c r="B42" s="3">
        <f>B26</f>
        <v>0</v>
      </c>
      <c r="C42" s="3">
        <f t="shared" ref="C42:H42" si="6">C26</f>
        <v>0</v>
      </c>
      <c r="D42" s="3">
        <f t="shared" si="6"/>
        <v>0</v>
      </c>
      <c r="E42" s="3">
        <f t="shared" si="6"/>
        <v>0</v>
      </c>
      <c r="F42" s="3">
        <f t="shared" si="6"/>
        <v>0</v>
      </c>
      <c r="G42" s="3">
        <f t="shared" si="6"/>
        <v>0</v>
      </c>
      <c r="H42" s="3">
        <f t="shared" si="6"/>
        <v>0</v>
      </c>
    </row>
  </sheetData>
  <mergeCells count="13">
    <mergeCell ref="A34:A36"/>
    <mergeCell ref="B34:H34"/>
    <mergeCell ref="B35:G35"/>
    <mergeCell ref="A1:H1"/>
    <mergeCell ref="A2:A4"/>
    <mergeCell ref="B2:H2"/>
    <mergeCell ref="A31:O31"/>
    <mergeCell ref="A33:H33"/>
    <mergeCell ref="I2:I3"/>
    <mergeCell ref="J2:J3"/>
    <mergeCell ref="K2:K3"/>
    <mergeCell ref="B3:G3"/>
    <mergeCell ref="A30:H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Черговий Диспетчер</dc:creator>
  <cp:lastModifiedBy>Andrey</cp:lastModifiedBy>
  <cp:lastPrinted>2020-12-16T17:04:01Z</cp:lastPrinted>
  <dcterms:created xsi:type="dcterms:W3CDTF">2020-12-14T17:04:56Z</dcterms:created>
  <dcterms:modified xsi:type="dcterms:W3CDTF">2020-12-16T18:18:35Z</dcterms:modified>
</cp:coreProperties>
</file>